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05" yWindow="420" windowWidth="24660" windowHeight="12990"/>
  </bookViews>
  <sheets>
    <sheet name="BuildSchedule" sheetId="1" r:id="rId1"/>
    <sheet name="2013EquivCostSorted" sheetId="14" r:id="rId2"/>
    <sheet name="Transmission" sheetId="10" r:id="rId3"/>
    <sheet name="Indices" sheetId="2" r:id="rId4"/>
    <sheet name="CPI Source" sheetId="5" r:id="rId5"/>
  </sheets>
  <definedNames>
    <definedName name="CPI">Indices!$A$2:$B$110</definedName>
    <definedName name="_xlnm.Print_Area" localSheetId="0">BuildSchedule!$A$1:$I$157</definedName>
  </definedNames>
  <calcPr calcId="145621"/>
</workbook>
</file>

<file path=xl/calcChain.xml><?xml version="1.0" encoding="utf-8"?>
<calcChain xmlns="http://schemas.openxmlformats.org/spreadsheetml/2006/main">
  <c r="O99" i="5" l="1"/>
  <c r="O98" i="5"/>
  <c r="N97" i="5"/>
  <c r="O97" i="5" s="1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N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M4" i="10" l="1"/>
  <c r="I173" i="14" l="1"/>
  <c r="H173" i="14"/>
  <c r="D173" i="14"/>
  <c r="C173" i="14"/>
  <c r="E173" i="14" s="1"/>
  <c r="B173" i="14"/>
  <c r="I172" i="14"/>
  <c r="H172" i="14"/>
  <c r="D172" i="14"/>
  <c r="C172" i="14"/>
  <c r="E172" i="14" s="1"/>
  <c r="B172" i="14"/>
  <c r="I171" i="14"/>
  <c r="H171" i="14"/>
  <c r="D171" i="14"/>
  <c r="C171" i="14"/>
  <c r="E171" i="14" s="1"/>
  <c r="B171" i="14"/>
  <c r="I170" i="14"/>
  <c r="H170" i="14"/>
  <c r="D170" i="14"/>
  <c r="C170" i="14"/>
  <c r="E170" i="14" s="1"/>
  <c r="B170" i="14"/>
  <c r="I169" i="14"/>
  <c r="H169" i="14"/>
  <c r="D169" i="14"/>
  <c r="C169" i="14"/>
  <c r="E169" i="14" s="1"/>
  <c r="B169" i="14"/>
  <c r="I168" i="14"/>
  <c r="D168" i="14"/>
  <c r="C168" i="14"/>
  <c r="E168" i="14" s="1"/>
  <c r="B168" i="14"/>
  <c r="I167" i="14"/>
  <c r="H167" i="14"/>
  <c r="D167" i="14"/>
  <c r="C167" i="14"/>
  <c r="E167" i="14" s="1"/>
  <c r="B167" i="14"/>
  <c r="I166" i="14"/>
  <c r="H166" i="14"/>
  <c r="D166" i="14"/>
  <c r="C166" i="14"/>
  <c r="E166" i="14" s="1"/>
  <c r="B166" i="14"/>
  <c r="I165" i="14"/>
  <c r="H165" i="14"/>
  <c r="D165" i="14"/>
  <c r="C165" i="14"/>
  <c r="E165" i="14" s="1"/>
  <c r="B165" i="14"/>
  <c r="I164" i="14"/>
  <c r="H164" i="14"/>
  <c r="D164" i="14"/>
  <c r="C164" i="14"/>
  <c r="E164" i="14" s="1"/>
  <c r="B164" i="14"/>
  <c r="I163" i="14"/>
  <c r="H163" i="14"/>
  <c r="D163" i="14"/>
  <c r="C163" i="14"/>
  <c r="B163" i="14"/>
  <c r="I162" i="14"/>
  <c r="H162" i="14"/>
  <c r="D162" i="14"/>
  <c r="C162" i="14"/>
  <c r="B162" i="14"/>
  <c r="I161" i="14"/>
  <c r="H161" i="14"/>
  <c r="D161" i="14"/>
  <c r="C161" i="14"/>
  <c r="E161" i="14" s="1"/>
  <c r="B161" i="14"/>
  <c r="I160" i="14"/>
  <c r="H160" i="14"/>
  <c r="D160" i="14"/>
  <c r="C160" i="14"/>
  <c r="E160" i="14" s="1"/>
  <c r="B160" i="14"/>
  <c r="I159" i="14"/>
  <c r="H159" i="14"/>
  <c r="D159" i="14"/>
  <c r="C159" i="14"/>
  <c r="E159" i="14" s="1"/>
  <c r="B159" i="14"/>
  <c r="I158" i="14"/>
  <c r="H158" i="14"/>
  <c r="D158" i="14"/>
  <c r="C158" i="14"/>
  <c r="E158" i="14" s="1"/>
  <c r="B158" i="14"/>
  <c r="I157" i="14"/>
  <c r="H157" i="14"/>
  <c r="D157" i="14"/>
  <c r="C157" i="14"/>
  <c r="E157" i="14" s="1"/>
  <c r="B157" i="14"/>
  <c r="I156" i="14"/>
  <c r="H156" i="14"/>
  <c r="D156" i="14"/>
  <c r="C156" i="14"/>
  <c r="E156" i="14" s="1"/>
  <c r="B156" i="14"/>
  <c r="I155" i="14"/>
  <c r="H155" i="14"/>
  <c r="D155" i="14"/>
  <c r="C155" i="14"/>
  <c r="E155" i="14" s="1"/>
  <c r="B155" i="14"/>
  <c r="I154" i="14"/>
  <c r="H154" i="14"/>
  <c r="D154" i="14"/>
  <c r="C154" i="14"/>
  <c r="E154" i="14" s="1"/>
  <c r="B154" i="14"/>
  <c r="I149" i="14"/>
  <c r="H149" i="14"/>
  <c r="D149" i="14"/>
  <c r="C149" i="14"/>
  <c r="E149" i="14" s="1"/>
  <c r="B149" i="14"/>
  <c r="I148" i="14"/>
  <c r="H148" i="14"/>
  <c r="D148" i="14"/>
  <c r="C148" i="14"/>
  <c r="E148" i="14" s="1"/>
  <c r="B148" i="14"/>
  <c r="I147" i="14"/>
  <c r="H147" i="14"/>
  <c r="D147" i="14"/>
  <c r="C147" i="14"/>
  <c r="E147" i="14" s="1"/>
  <c r="B147" i="14"/>
  <c r="I146" i="14"/>
  <c r="H146" i="14"/>
  <c r="D146" i="14"/>
  <c r="C146" i="14"/>
  <c r="E146" i="14" s="1"/>
  <c r="B146" i="14"/>
  <c r="I145" i="14"/>
  <c r="H145" i="14"/>
  <c r="D145" i="14"/>
  <c r="C145" i="14"/>
  <c r="E145" i="14" s="1"/>
  <c r="B145" i="14"/>
  <c r="I144" i="14"/>
  <c r="H144" i="14"/>
  <c r="D144" i="14"/>
  <c r="C144" i="14"/>
  <c r="E144" i="14" s="1"/>
  <c r="B144" i="14"/>
  <c r="I143" i="14"/>
  <c r="H143" i="14"/>
  <c r="D143" i="14"/>
  <c r="C143" i="14"/>
  <c r="E143" i="14" s="1"/>
  <c r="B143" i="14"/>
  <c r="I142" i="14"/>
  <c r="H142" i="14"/>
  <c r="D142" i="14"/>
  <c r="C142" i="14"/>
  <c r="E142" i="14" s="1"/>
  <c r="B142" i="14"/>
  <c r="I141" i="14"/>
  <c r="H141" i="14"/>
  <c r="D141" i="14"/>
  <c r="C141" i="14"/>
  <c r="E141" i="14" s="1"/>
  <c r="B141" i="14"/>
  <c r="I140" i="14"/>
  <c r="H140" i="14"/>
  <c r="D140" i="14"/>
  <c r="C140" i="14"/>
  <c r="E140" i="14" s="1"/>
  <c r="B140" i="14"/>
  <c r="H139" i="14"/>
  <c r="D139" i="14"/>
  <c r="C139" i="14"/>
  <c r="E139" i="14" s="1"/>
  <c r="B139" i="14"/>
  <c r="I138" i="14"/>
  <c r="H138" i="14"/>
  <c r="D138" i="14"/>
  <c r="C138" i="14"/>
  <c r="E138" i="14" s="1"/>
  <c r="B138" i="14"/>
  <c r="I137" i="14"/>
  <c r="H137" i="14"/>
  <c r="D137" i="14"/>
  <c r="C137" i="14"/>
  <c r="E137" i="14" s="1"/>
  <c r="B137" i="14"/>
  <c r="I136" i="14"/>
  <c r="H136" i="14"/>
  <c r="D136" i="14"/>
  <c r="C136" i="14"/>
  <c r="E136" i="14" s="1"/>
  <c r="B136" i="14"/>
  <c r="I135" i="14"/>
  <c r="H135" i="14"/>
  <c r="D135" i="14"/>
  <c r="C135" i="14"/>
  <c r="E135" i="14" s="1"/>
  <c r="B135" i="14"/>
  <c r="I134" i="14"/>
  <c r="H134" i="14"/>
  <c r="D134" i="14"/>
  <c r="C134" i="14"/>
  <c r="E134" i="14" s="1"/>
  <c r="B134" i="14"/>
  <c r="I133" i="14"/>
  <c r="H133" i="14"/>
  <c r="D133" i="14"/>
  <c r="C133" i="14"/>
  <c r="E133" i="14" s="1"/>
  <c r="B133" i="14"/>
  <c r="I132" i="14"/>
  <c r="H132" i="14"/>
  <c r="D132" i="14"/>
  <c r="C132" i="14"/>
  <c r="E132" i="14" s="1"/>
  <c r="B132" i="14"/>
  <c r="I131" i="14"/>
  <c r="H131" i="14"/>
  <c r="D131" i="14"/>
  <c r="C131" i="14"/>
  <c r="E131" i="14" s="1"/>
  <c r="B131" i="14"/>
  <c r="I130" i="14"/>
  <c r="H130" i="14"/>
  <c r="D130" i="14"/>
  <c r="C130" i="14"/>
  <c r="E130" i="14" s="1"/>
  <c r="B130" i="14"/>
  <c r="I129" i="14"/>
  <c r="H129" i="14"/>
  <c r="D129" i="14"/>
  <c r="C129" i="14"/>
  <c r="E129" i="14" s="1"/>
  <c r="B129" i="14"/>
  <c r="I128" i="14"/>
  <c r="H128" i="14"/>
  <c r="D128" i="14"/>
  <c r="C128" i="14"/>
  <c r="E128" i="14" s="1"/>
  <c r="B128" i="14"/>
  <c r="I127" i="14"/>
  <c r="H127" i="14"/>
  <c r="D127" i="14"/>
  <c r="C127" i="14"/>
  <c r="E127" i="14" s="1"/>
  <c r="B127" i="14"/>
  <c r="I126" i="14"/>
  <c r="H126" i="14"/>
  <c r="D126" i="14"/>
  <c r="C126" i="14"/>
  <c r="E126" i="14" s="1"/>
  <c r="B126" i="14"/>
  <c r="I125" i="14"/>
  <c r="H125" i="14"/>
  <c r="D125" i="14"/>
  <c r="C125" i="14"/>
  <c r="E125" i="14" s="1"/>
  <c r="B125" i="14"/>
  <c r="I124" i="14"/>
  <c r="H124" i="14"/>
  <c r="D124" i="14"/>
  <c r="C124" i="14"/>
  <c r="E124" i="14" s="1"/>
  <c r="B124" i="14"/>
  <c r="I123" i="14"/>
  <c r="H123" i="14"/>
  <c r="D123" i="14"/>
  <c r="C123" i="14"/>
  <c r="E123" i="14" s="1"/>
  <c r="B123" i="14"/>
  <c r="I122" i="14"/>
  <c r="H122" i="14"/>
  <c r="D122" i="14"/>
  <c r="C122" i="14"/>
  <c r="E122" i="14" s="1"/>
  <c r="B122" i="14"/>
  <c r="I121" i="14"/>
  <c r="H121" i="14"/>
  <c r="D121" i="14"/>
  <c r="C121" i="14"/>
  <c r="E121" i="14" s="1"/>
  <c r="B121" i="14"/>
  <c r="I120" i="14"/>
  <c r="H120" i="14"/>
  <c r="D120" i="14"/>
  <c r="C120" i="14"/>
  <c r="E120" i="14" s="1"/>
  <c r="B120" i="14"/>
  <c r="I119" i="14"/>
  <c r="H119" i="14"/>
  <c r="D119" i="14"/>
  <c r="C119" i="14"/>
  <c r="E119" i="14" s="1"/>
  <c r="B119" i="14"/>
  <c r="I118" i="14"/>
  <c r="H118" i="14"/>
  <c r="D118" i="14"/>
  <c r="C118" i="14"/>
  <c r="E118" i="14" s="1"/>
  <c r="B118" i="14"/>
  <c r="D117" i="14"/>
  <c r="C117" i="14"/>
  <c r="E117" i="14" s="1"/>
  <c r="B117" i="14"/>
  <c r="I116" i="14"/>
  <c r="H116" i="14"/>
  <c r="D116" i="14"/>
  <c r="C116" i="14"/>
  <c r="E116" i="14" s="1"/>
  <c r="B116" i="14"/>
  <c r="I115" i="14"/>
  <c r="H115" i="14"/>
  <c r="D115" i="14"/>
  <c r="C115" i="14"/>
  <c r="E115" i="14" s="1"/>
  <c r="B115" i="14"/>
  <c r="I114" i="14"/>
  <c r="H114" i="14"/>
  <c r="D114" i="14"/>
  <c r="C114" i="14"/>
  <c r="E114" i="14" s="1"/>
  <c r="B114" i="14"/>
  <c r="I113" i="14"/>
  <c r="H113" i="14"/>
  <c r="D113" i="14"/>
  <c r="C113" i="14"/>
  <c r="E113" i="14" s="1"/>
  <c r="B113" i="14"/>
  <c r="I112" i="14"/>
  <c r="H112" i="14"/>
  <c r="D112" i="14"/>
  <c r="C112" i="14"/>
  <c r="E112" i="14" s="1"/>
  <c r="B112" i="14"/>
  <c r="I111" i="14"/>
  <c r="H111" i="14"/>
  <c r="D111" i="14"/>
  <c r="C111" i="14"/>
  <c r="E111" i="14" s="1"/>
  <c r="B111" i="14"/>
  <c r="I110" i="14"/>
  <c r="H110" i="14"/>
  <c r="D110" i="14"/>
  <c r="C110" i="14"/>
  <c r="E110" i="14" s="1"/>
  <c r="B110" i="14"/>
  <c r="I109" i="14"/>
  <c r="H109" i="14"/>
  <c r="D109" i="14"/>
  <c r="C109" i="14"/>
  <c r="E109" i="14" s="1"/>
  <c r="B109" i="14"/>
  <c r="I108" i="14"/>
  <c r="H108" i="14"/>
  <c r="D108" i="14"/>
  <c r="C108" i="14"/>
  <c r="E108" i="14" s="1"/>
  <c r="B108" i="14"/>
  <c r="I107" i="14"/>
  <c r="H107" i="14"/>
  <c r="D107" i="14"/>
  <c r="C107" i="14"/>
  <c r="E107" i="14" s="1"/>
  <c r="B107" i="14"/>
  <c r="I106" i="14"/>
  <c r="H106" i="14"/>
  <c r="D106" i="14"/>
  <c r="C106" i="14"/>
  <c r="E106" i="14" s="1"/>
  <c r="B106" i="14"/>
  <c r="I105" i="14"/>
  <c r="H105" i="14"/>
  <c r="D105" i="14"/>
  <c r="C105" i="14"/>
  <c r="E105" i="14" s="1"/>
  <c r="B105" i="14"/>
  <c r="I104" i="14"/>
  <c r="H104" i="14"/>
  <c r="D104" i="14"/>
  <c r="C104" i="14"/>
  <c r="E104" i="14" s="1"/>
  <c r="B104" i="14"/>
  <c r="I103" i="14"/>
  <c r="H103" i="14"/>
  <c r="D103" i="14"/>
  <c r="C103" i="14"/>
  <c r="E103" i="14" s="1"/>
  <c r="B103" i="14"/>
  <c r="I102" i="14"/>
  <c r="H102" i="14"/>
  <c r="D102" i="14"/>
  <c r="C102" i="14"/>
  <c r="E102" i="14" s="1"/>
  <c r="B102" i="14"/>
  <c r="I101" i="14"/>
  <c r="H101" i="14"/>
  <c r="D101" i="14"/>
  <c r="C101" i="14"/>
  <c r="E101" i="14" s="1"/>
  <c r="B101" i="14"/>
  <c r="I95" i="14"/>
  <c r="H95" i="14"/>
  <c r="D95" i="14"/>
  <c r="C95" i="14"/>
  <c r="E95" i="14" s="1"/>
  <c r="B95" i="14"/>
  <c r="I94" i="14"/>
  <c r="H94" i="14"/>
  <c r="D94" i="14"/>
  <c r="C94" i="14"/>
  <c r="E94" i="14" s="1"/>
  <c r="B94" i="14"/>
  <c r="I93" i="14"/>
  <c r="H93" i="14"/>
  <c r="D93" i="14"/>
  <c r="C93" i="14"/>
  <c r="E93" i="14" s="1"/>
  <c r="B93" i="14"/>
  <c r="I92" i="14"/>
  <c r="H92" i="14"/>
  <c r="D92" i="14"/>
  <c r="C92" i="14"/>
  <c r="E92" i="14" s="1"/>
  <c r="B92" i="14"/>
  <c r="I91" i="14"/>
  <c r="H91" i="14"/>
  <c r="D91" i="14"/>
  <c r="C91" i="14"/>
  <c r="E91" i="14" s="1"/>
  <c r="B91" i="14"/>
  <c r="I90" i="14"/>
  <c r="H90" i="14"/>
  <c r="D90" i="14"/>
  <c r="C90" i="14"/>
  <c r="E90" i="14" s="1"/>
  <c r="B90" i="14"/>
  <c r="I89" i="14"/>
  <c r="H89" i="14"/>
  <c r="C89" i="14"/>
  <c r="E89" i="14" s="1"/>
  <c r="B89" i="14"/>
  <c r="I88" i="14"/>
  <c r="H88" i="14"/>
  <c r="D88" i="14"/>
  <c r="C88" i="14"/>
  <c r="E88" i="14" s="1"/>
  <c r="B88" i="14"/>
  <c r="I87" i="14"/>
  <c r="H87" i="14"/>
  <c r="D87" i="14"/>
  <c r="C87" i="14"/>
  <c r="E87" i="14" s="1"/>
  <c r="B87" i="14"/>
  <c r="I86" i="14"/>
  <c r="D86" i="14"/>
  <c r="C86" i="14"/>
  <c r="E86" i="14" s="1"/>
  <c r="B86" i="14"/>
  <c r="I85" i="14"/>
  <c r="H85" i="14"/>
  <c r="D85" i="14"/>
  <c r="C85" i="14"/>
  <c r="E85" i="14" s="1"/>
  <c r="B85" i="14"/>
  <c r="H84" i="14"/>
  <c r="D84" i="14"/>
  <c r="C84" i="14"/>
  <c r="E84" i="14" s="1"/>
  <c r="B84" i="14"/>
  <c r="I83" i="14"/>
  <c r="H83" i="14"/>
  <c r="D83" i="14"/>
  <c r="C83" i="14"/>
  <c r="E83" i="14" s="1"/>
  <c r="B83" i="14"/>
  <c r="I82" i="14"/>
  <c r="H82" i="14"/>
  <c r="D82" i="14"/>
  <c r="C82" i="14"/>
  <c r="E82" i="14" s="1"/>
  <c r="B82" i="14"/>
  <c r="I81" i="14"/>
  <c r="H81" i="14"/>
  <c r="D81" i="14"/>
  <c r="C81" i="14"/>
  <c r="E81" i="14" s="1"/>
  <c r="B81" i="14"/>
  <c r="I80" i="14"/>
  <c r="H80" i="14"/>
  <c r="D80" i="14"/>
  <c r="C80" i="14"/>
  <c r="E80" i="14" s="1"/>
  <c r="B80" i="14"/>
  <c r="I79" i="14"/>
  <c r="H79" i="14"/>
  <c r="D79" i="14"/>
  <c r="C79" i="14"/>
  <c r="E79" i="14" s="1"/>
  <c r="B79" i="14"/>
  <c r="I73" i="14"/>
  <c r="H73" i="14"/>
  <c r="D73" i="14"/>
  <c r="C73" i="14"/>
  <c r="E73" i="14" s="1"/>
  <c r="B73" i="14"/>
  <c r="I72" i="14"/>
  <c r="H72" i="14"/>
  <c r="C72" i="14"/>
  <c r="E72" i="14" s="1"/>
  <c r="B72" i="14"/>
  <c r="I71" i="14"/>
  <c r="H71" i="14"/>
  <c r="D71" i="14"/>
  <c r="C71" i="14"/>
  <c r="E71" i="14" s="1"/>
  <c r="B71" i="14"/>
  <c r="H70" i="14"/>
  <c r="D70" i="14"/>
  <c r="C70" i="14"/>
  <c r="E70" i="14" s="1"/>
  <c r="B70" i="14"/>
  <c r="I69" i="14"/>
  <c r="H69" i="14"/>
  <c r="D69" i="14"/>
  <c r="C69" i="14"/>
  <c r="E69" i="14" s="1"/>
  <c r="B69" i="14"/>
  <c r="I68" i="14"/>
  <c r="H68" i="14"/>
  <c r="D68" i="14"/>
  <c r="C68" i="14"/>
  <c r="E68" i="14" s="1"/>
  <c r="B68" i="14"/>
  <c r="I67" i="14"/>
  <c r="H67" i="14"/>
  <c r="D67" i="14"/>
  <c r="C67" i="14"/>
  <c r="E67" i="14" s="1"/>
  <c r="B67" i="14"/>
  <c r="I66" i="14"/>
  <c r="H66" i="14"/>
  <c r="D66" i="14"/>
  <c r="C66" i="14"/>
  <c r="E66" i="14" s="1"/>
  <c r="B66" i="14"/>
  <c r="I65" i="14"/>
  <c r="H65" i="14"/>
  <c r="D65" i="14"/>
  <c r="C65" i="14"/>
  <c r="E65" i="14" s="1"/>
  <c r="B65" i="14"/>
  <c r="I64" i="14"/>
  <c r="H64" i="14"/>
  <c r="D64" i="14"/>
  <c r="C64" i="14"/>
  <c r="E64" i="14" s="1"/>
  <c r="B64" i="14"/>
  <c r="I63" i="14"/>
  <c r="H63" i="14"/>
  <c r="D63" i="14"/>
  <c r="C63" i="14"/>
  <c r="B63" i="14"/>
  <c r="I62" i="14"/>
  <c r="H62" i="14"/>
  <c r="D62" i="14"/>
  <c r="C62" i="14"/>
  <c r="E62" i="14" s="1"/>
  <c r="B62" i="14"/>
  <c r="I61" i="14"/>
  <c r="H61" i="14"/>
  <c r="C61" i="14"/>
  <c r="E61" i="14" s="1"/>
  <c r="B61" i="14"/>
  <c r="I60" i="14"/>
  <c r="H60" i="14"/>
  <c r="D60" i="14"/>
  <c r="C60" i="14"/>
  <c r="E60" i="14" s="1"/>
  <c r="B60" i="14"/>
  <c r="H59" i="14"/>
  <c r="C59" i="14"/>
  <c r="E59" i="14" s="1"/>
  <c r="B59" i="14"/>
  <c r="I58" i="14"/>
  <c r="H58" i="14"/>
  <c r="C58" i="14"/>
  <c r="E58" i="14" s="1"/>
  <c r="B58" i="14"/>
  <c r="I57" i="14"/>
  <c r="H57" i="14"/>
  <c r="D57" i="14"/>
  <c r="C57" i="14"/>
  <c r="E57" i="14" s="1"/>
  <c r="B57" i="14"/>
  <c r="I56" i="14"/>
  <c r="H56" i="14"/>
  <c r="D56" i="14"/>
  <c r="C56" i="14"/>
  <c r="E56" i="14" s="1"/>
  <c r="B56" i="14"/>
  <c r="I55" i="14"/>
  <c r="H55" i="14"/>
  <c r="D55" i="14"/>
  <c r="C55" i="14"/>
  <c r="B55" i="14"/>
  <c r="H54" i="14"/>
  <c r="D54" i="14"/>
  <c r="C54" i="14"/>
  <c r="E54" i="14" s="1"/>
  <c r="B54" i="14"/>
  <c r="I53" i="14"/>
  <c r="H53" i="14"/>
  <c r="D53" i="14"/>
  <c r="C53" i="14"/>
  <c r="E53" i="14" s="1"/>
  <c r="B53" i="14"/>
  <c r="I52" i="14"/>
  <c r="H52" i="14"/>
  <c r="D52" i="14"/>
  <c r="C52" i="14"/>
  <c r="E52" i="14" s="1"/>
  <c r="B52" i="14"/>
  <c r="I51" i="14"/>
  <c r="H51" i="14"/>
  <c r="D51" i="14"/>
  <c r="C51" i="14"/>
  <c r="B51" i="14"/>
  <c r="I50" i="14"/>
  <c r="H50" i="14"/>
  <c r="C50" i="14"/>
  <c r="E50" i="14" s="1"/>
  <c r="B50" i="14"/>
  <c r="I49" i="14"/>
  <c r="H49" i="14"/>
  <c r="D49" i="14"/>
  <c r="C49" i="14"/>
  <c r="E49" i="14" s="1"/>
  <c r="B49" i="14"/>
  <c r="I48" i="14"/>
  <c r="H48" i="14"/>
  <c r="C48" i="14"/>
  <c r="E48" i="14" s="1"/>
  <c r="B48" i="14"/>
  <c r="I47" i="14"/>
  <c r="H47" i="14"/>
  <c r="D47" i="14"/>
  <c r="C47" i="14"/>
  <c r="E47" i="14" s="1"/>
  <c r="B47" i="14"/>
  <c r="I46" i="14"/>
  <c r="H46" i="14"/>
  <c r="D46" i="14"/>
  <c r="C46" i="14"/>
  <c r="E46" i="14" s="1"/>
  <c r="B46" i="14"/>
  <c r="I45" i="14"/>
  <c r="H45" i="14"/>
  <c r="D45" i="14"/>
  <c r="C45" i="14"/>
  <c r="E45" i="14" s="1"/>
  <c r="B45" i="14"/>
  <c r="H44" i="14"/>
  <c r="C44" i="14"/>
  <c r="E44" i="14" s="1"/>
  <c r="B44" i="14"/>
  <c r="I43" i="14"/>
  <c r="H43" i="14"/>
  <c r="D43" i="14"/>
  <c r="C43" i="14"/>
  <c r="E43" i="14" s="1"/>
  <c r="B43" i="14"/>
  <c r="I42" i="14"/>
  <c r="H42" i="14"/>
  <c r="C42" i="14"/>
  <c r="E42" i="14" s="1"/>
  <c r="B42" i="14"/>
  <c r="I41" i="14"/>
  <c r="H41" i="14"/>
  <c r="D41" i="14"/>
  <c r="C41" i="14"/>
  <c r="E41" i="14" s="1"/>
  <c r="B41" i="14"/>
  <c r="I40" i="14"/>
  <c r="H40" i="14"/>
  <c r="D40" i="14"/>
  <c r="C40" i="14"/>
  <c r="E40" i="14" s="1"/>
  <c r="B40" i="14"/>
  <c r="I39" i="14"/>
  <c r="H39" i="14"/>
  <c r="D39" i="14"/>
  <c r="C39" i="14"/>
  <c r="E39" i="14" s="1"/>
  <c r="B39" i="14"/>
  <c r="I38" i="14"/>
  <c r="H38" i="14"/>
  <c r="D38" i="14"/>
  <c r="C38" i="14"/>
  <c r="E38" i="14" s="1"/>
  <c r="B38" i="14"/>
  <c r="H37" i="14"/>
  <c r="C37" i="14"/>
  <c r="E37" i="14" s="1"/>
  <c r="B37" i="14"/>
  <c r="I36" i="14"/>
  <c r="H36" i="14"/>
  <c r="C36" i="14"/>
  <c r="E36" i="14" s="1"/>
  <c r="B36" i="14"/>
  <c r="I35" i="14"/>
  <c r="H35" i="14"/>
  <c r="C35" i="14"/>
  <c r="E35" i="14" s="1"/>
  <c r="B35" i="14"/>
  <c r="C34" i="14"/>
  <c r="E34" i="14" s="1"/>
  <c r="B34" i="14"/>
  <c r="I33" i="14"/>
  <c r="H33" i="14"/>
  <c r="C33" i="14"/>
  <c r="E33" i="14" s="1"/>
  <c r="B33" i="14"/>
  <c r="I32" i="14"/>
  <c r="H32" i="14"/>
  <c r="D32" i="14"/>
  <c r="C32" i="14"/>
  <c r="E32" i="14" s="1"/>
  <c r="B32" i="14"/>
  <c r="H31" i="14"/>
  <c r="C31" i="14"/>
  <c r="E31" i="14" s="1"/>
  <c r="B31" i="14"/>
  <c r="I30" i="14"/>
  <c r="H30" i="14"/>
  <c r="D30" i="14"/>
  <c r="C30" i="14"/>
  <c r="E30" i="14" s="1"/>
  <c r="B30" i="14"/>
  <c r="I29" i="14"/>
  <c r="H29" i="14"/>
  <c r="D29" i="14"/>
  <c r="C29" i="14"/>
  <c r="E29" i="14" s="1"/>
  <c r="B29" i="14"/>
  <c r="I28" i="14"/>
  <c r="H28" i="14"/>
  <c r="D28" i="14"/>
  <c r="C28" i="14"/>
  <c r="E28" i="14" s="1"/>
  <c r="B28" i="14"/>
  <c r="I27" i="14"/>
  <c r="H27" i="14"/>
  <c r="D27" i="14"/>
  <c r="C27" i="14"/>
  <c r="E27" i="14" s="1"/>
  <c r="B27" i="14"/>
  <c r="I26" i="14"/>
  <c r="H26" i="14"/>
  <c r="D26" i="14"/>
  <c r="C26" i="14"/>
  <c r="E26" i="14" s="1"/>
  <c r="B26" i="14"/>
  <c r="I25" i="14"/>
  <c r="H25" i="14"/>
  <c r="C25" i="14"/>
  <c r="E25" i="14" s="1"/>
  <c r="B25" i="14"/>
  <c r="I24" i="14"/>
  <c r="H24" i="14"/>
  <c r="D24" i="14"/>
  <c r="C24" i="14"/>
  <c r="E24" i="14" s="1"/>
  <c r="B24" i="14"/>
  <c r="I23" i="14"/>
  <c r="H23" i="14"/>
  <c r="C23" i="14"/>
  <c r="E23" i="14" s="1"/>
  <c r="B23" i="14"/>
  <c r="I22" i="14"/>
  <c r="H22" i="14"/>
  <c r="D22" i="14"/>
  <c r="C22" i="14"/>
  <c r="E22" i="14" s="1"/>
  <c r="B22" i="14"/>
  <c r="I21" i="14"/>
  <c r="H21" i="14"/>
  <c r="D21" i="14"/>
  <c r="C21" i="14"/>
  <c r="E21" i="14" s="1"/>
  <c r="B21" i="14"/>
  <c r="I20" i="14"/>
  <c r="H20" i="14"/>
  <c r="C20" i="14"/>
  <c r="E20" i="14" s="1"/>
  <c r="B20" i="14"/>
  <c r="I19" i="14"/>
  <c r="H19" i="14"/>
  <c r="D19" i="14"/>
  <c r="C19" i="14"/>
  <c r="E19" i="14" s="1"/>
  <c r="B19" i="14"/>
  <c r="I18" i="14"/>
  <c r="H18" i="14"/>
  <c r="C18" i="14"/>
  <c r="E18" i="14" s="1"/>
  <c r="B18" i="14"/>
  <c r="I17" i="14"/>
  <c r="H17" i="14"/>
  <c r="C17" i="14"/>
  <c r="E17" i="14" s="1"/>
  <c r="B17" i="14"/>
  <c r="I16" i="14"/>
  <c r="H16" i="14"/>
  <c r="D16" i="14"/>
  <c r="C16" i="14"/>
  <c r="E16" i="14" s="1"/>
  <c r="B16" i="14"/>
  <c r="I15" i="14"/>
  <c r="H15" i="14"/>
  <c r="C15" i="14"/>
  <c r="E15" i="14" s="1"/>
  <c r="B15" i="14"/>
  <c r="I14" i="14"/>
  <c r="H14" i="14"/>
  <c r="C14" i="14"/>
  <c r="E14" i="14" s="1"/>
  <c r="B14" i="14"/>
  <c r="I13" i="14"/>
  <c r="H13" i="14"/>
  <c r="C13" i="14"/>
  <c r="E13" i="14" s="1"/>
  <c r="B13" i="14"/>
  <c r="I12" i="14"/>
  <c r="H12" i="14"/>
  <c r="D12" i="14"/>
  <c r="C12" i="14"/>
  <c r="E12" i="14" s="1"/>
  <c r="B12" i="14"/>
  <c r="I11" i="14"/>
  <c r="H11" i="14"/>
  <c r="D11" i="14"/>
  <c r="C11" i="14"/>
  <c r="B11" i="14"/>
  <c r="I10" i="14"/>
  <c r="H10" i="14"/>
  <c r="D10" i="14"/>
  <c r="C10" i="14"/>
  <c r="E10" i="14" s="1"/>
  <c r="B10" i="14"/>
  <c r="I9" i="14"/>
  <c r="H9" i="14"/>
  <c r="D9" i="14"/>
  <c r="C9" i="14"/>
  <c r="E9" i="14" s="1"/>
  <c r="B9" i="14"/>
  <c r="I8" i="14"/>
  <c r="H8" i="14"/>
  <c r="D8" i="14"/>
  <c r="C8" i="14"/>
  <c r="E8" i="14" s="1"/>
  <c r="B8" i="14"/>
  <c r="I7" i="14"/>
  <c r="H7" i="14"/>
  <c r="D7" i="14"/>
  <c r="C7" i="14"/>
  <c r="B7" i="14"/>
  <c r="I6" i="14"/>
  <c r="H6" i="14"/>
  <c r="D6" i="14"/>
  <c r="C6" i="14"/>
  <c r="B6" i="14"/>
  <c r="G2" i="14"/>
  <c r="F37" i="14" l="1"/>
  <c r="E11" i="14"/>
  <c r="F11" i="14" s="1"/>
  <c r="G11" i="14" s="1"/>
  <c r="F9" i="14"/>
  <c r="G9" i="14" s="1"/>
  <c r="F50" i="14"/>
  <c r="F8" i="14"/>
  <c r="G8" i="14" s="1"/>
  <c r="F13" i="14"/>
  <c r="F14" i="14"/>
  <c r="F18" i="14"/>
  <c r="F26" i="14"/>
  <c r="G26" i="14" s="1"/>
  <c r="F34" i="14"/>
  <c r="F45" i="14"/>
  <c r="G45" i="14" s="1"/>
  <c r="F42" i="14"/>
  <c r="F21" i="14"/>
  <c r="G21" i="14" s="1"/>
  <c r="F29" i="14"/>
  <c r="G29" i="14" s="1"/>
  <c r="E51" i="14"/>
  <c r="F51" i="14" s="1"/>
  <c r="G51" i="14" s="1"/>
  <c r="F173" i="14"/>
  <c r="G173" i="14" s="1"/>
  <c r="F172" i="14"/>
  <c r="G172" i="14" s="1"/>
  <c r="F171" i="14"/>
  <c r="G171" i="14" s="1"/>
  <c r="F170" i="14"/>
  <c r="G170" i="14" s="1"/>
  <c r="F169" i="14"/>
  <c r="G169" i="14" s="1"/>
  <c r="F168" i="14"/>
  <c r="G168" i="14" s="1"/>
  <c r="F167" i="14"/>
  <c r="G167" i="14" s="1"/>
  <c r="F166" i="14"/>
  <c r="G166" i="14" s="1"/>
  <c r="F165" i="14"/>
  <c r="G165" i="14" s="1"/>
  <c r="F164" i="14"/>
  <c r="G164" i="14" s="1"/>
  <c r="F70" i="14"/>
  <c r="G70" i="14" s="1"/>
  <c r="F158" i="14"/>
  <c r="G158" i="14" s="1"/>
  <c r="F154" i="14"/>
  <c r="G154" i="14" s="1"/>
  <c r="F146" i="14"/>
  <c r="G146" i="14" s="1"/>
  <c r="F142" i="14"/>
  <c r="G142" i="14" s="1"/>
  <c r="F138" i="14"/>
  <c r="G138" i="14" s="1"/>
  <c r="F134" i="14"/>
  <c r="G134" i="14" s="1"/>
  <c r="F130" i="14"/>
  <c r="G130" i="14" s="1"/>
  <c r="F126" i="14"/>
  <c r="G126" i="14" s="1"/>
  <c r="F122" i="14"/>
  <c r="G122" i="14" s="1"/>
  <c r="F118" i="14"/>
  <c r="G118" i="14" s="1"/>
  <c r="F114" i="14"/>
  <c r="G114" i="14" s="1"/>
  <c r="F110" i="14"/>
  <c r="G110" i="14" s="1"/>
  <c r="F106" i="14"/>
  <c r="G106" i="14" s="1"/>
  <c r="F102" i="14"/>
  <c r="G102" i="14" s="1"/>
  <c r="F95" i="14"/>
  <c r="G95" i="14" s="1"/>
  <c r="F94" i="14"/>
  <c r="G94" i="14" s="1"/>
  <c r="F93" i="14"/>
  <c r="G93" i="14" s="1"/>
  <c r="F92" i="14"/>
  <c r="G92" i="14" s="1"/>
  <c r="F91" i="14"/>
  <c r="G91" i="14" s="1"/>
  <c r="F90" i="14"/>
  <c r="G90" i="14" s="1"/>
  <c r="F89" i="14"/>
  <c r="F88" i="14"/>
  <c r="G88" i="14" s="1"/>
  <c r="F87" i="14"/>
  <c r="G87" i="14" s="1"/>
  <c r="F86" i="14"/>
  <c r="G86" i="14" s="1"/>
  <c r="F85" i="14"/>
  <c r="G85" i="14" s="1"/>
  <c r="F84" i="14"/>
  <c r="G84" i="14" s="1"/>
  <c r="F83" i="14"/>
  <c r="G83" i="14" s="1"/>
  <c r="F82" i="14"/>
  <c r="G82" i="14" s="1"/>
  <c r="F81" i="14"/>
  <c r="G81" i="14" s="1"/>
  <c r="F80" i="14"/>
  <c r="G80" i="14" s="1"/>
  <c r="F79" i="14"/>
  <c r="G79" i="14" s="1"/>
  <c r="F72" i="14"/>
  <c r="F66" i="14"/>
  <c r="G66" i="14" s="1"/>
  <c r="F57" i="14"/>
  <c r="G57" i="14" s="1"/>
  <c r="F47" i="14"/>
  <c r="G47" i="14" s="1"/>
  <c r="F43" i="14"/>
  <c r="G43" i="14" s="1"/>
  <c r="F39" i="14"/>
  <c r="G39" i="14" s="1"/>
  <c r="F35" i="14"/>
  <c r="F31" i="14"/>
  <c r="F27" i="14"/>
  <c r="G27" i="14" s="1"/>
  <c r="F23" i="14"/>
  <c r="F19" i="14"/>
  <c r="G19" i="14" s="1"/>
  <c r="F15" i="14"/>
  <c r="F32" i="14"/>
  <c r="G32" i="14" s="1"/>
  <c r="F20" i="14"/>
  <c r="F159" i="14"/>
  <c r="G159" i="14" s="1"/>
  <c r="F155" i="14"/>
  <c r="G155" i="14" s="1"/>
  <c r="F147" i="14"/>
  <c r="G147" i="14" s="1"/>
  <c r="F143" i="14"/>
  <c r="G143" i="14" s="1"/>
  <c r="F139" i="14"/>
  <c r="G139" i="14" s="1"/>
  <c r="F135" i="14"/>
  <c r="G135" i="14" s="1"/>
  <c r="F131" i="14"/>
  <c r="G131" i="14" s="1"/>
  <c r="F127" i="14"/>
  <c r="G127" i="14" s="1"/>
  <c r="F123" i="14"/>
  <c r="G123" i="14" s="1"/>
  <c r="F119" i="14"/>
  <c r="G119" i="14" s="1"/>
  <c r="F115" i="14"/>
  <c r="G115" i="14" s="1"/>
  <c r="F111" i="14"/>
  <c r="G111" i="14" s="1"/>
  <c r="F107" i="14"/>
  <c r="G107" i="14" s="1"/>
  <c r="F103" i="14"/>
  <c r="G103" i="14" s="1"/>
  <c r="F73" i="14"/>
  <c r="G73" i="14" s="1"/>
  <c r="F69" i="14"/>
  <c r="G69" i="14" s="1"/>
  <c r="F68" i="14"/>
  <c r="G68" i="14" s="1"/>
  <c r="F65" i="14"/>
  <c r="G65" i="14" s="1"/>
  <c r="F61" i="14"/>
  <c r="F58" i="14"/>
  <c r="F52" i="14"/>
  <c r="G52" i="14" s="1"/>
  <c r="F48" i="14"/>
  <c r="F44" i="14"/>
  <c r="F40" i="14"/>
  <c r="G40" i="14" s="1"/>
  <c r="F36" i="14"/>
  <c r="F28" i="14"/>
  <c r="G28" i="14" s="1"/>
  <c r="F24" i="14"/>
  <c r="G24" i="14" s="1"/>
  <c r="F16" i="14"/>
  <c r="G16" i="14" s="1"/>
  <c r="F160" i="14"/>
  <c r="G160" i="14" s="1"/>
  <c r="F156" i="14"/>
  <c r="G156" i="14" s="1"/>
  <c r="F148" i="14"/>
  <c r="G148" i="14" s="1"/>
  <c r="F144" i="14"/>
  <c r="G144" i="14" s="1"/>
  <c r="F140" i="14"/>
  <c r="G140" i="14" s="1"/>
  <c r="F136" i="14"/>
  <c r="G136" i="14" s="1"/>
  <c r="F132" i="14"/>
  <c r="G132" i="14" s="1"/>
  <c r="F128" i="14"/>
  <c r="G128" i="14" s="1"/>
  <c r="F124" i="14"/>
  <c r="G124" i="14" s="1"/>
  <c r="F120" i="14"/>
  <c r="G120" i="14" s="1"/>
  <c r="F116" i="14"/>
  <c r="G116" i="14" s="1"/>
  <c r="F112" i="14"/>
  <c r="G112" i="14" s="1"/>
  <c r="F108" i="14"/>
  <c r="G108" i="14" s="1"/>
  <c r="F104" i="14"/>
  <c r="G104" i="14" s="1"/>
  <c r="F67" i="14"/>
  <c r="G67" i="14" s="1"/>
  <c r="F64" i="14"/>
  <c r="G64" i="14" s="1"/>
  <c r="F59" i="14"/>
  <c r="F56" i="14"/>
  <c r="G56" i="14" s="1"/>
  <c r="F53" i="14"/>
  <c r="G53" i="14" s="1"/>
  <c r="F161" i="14"/>
  <c r="G161" i="14" s="1"/>
  <c r="F157" i="14"/>
  <c r="G157" i="14" s="1"/>
  <c r="F149" i="14"/>
  <c r="G149" i="14" s="1"/>
  <c r="F145" i="14"/>
  <c r="G145" i="14" s="1"/>
  <c r="F141" i="14"/>
  <c r="G141" i="14" s="1"/>
  <c r="F137" i="14"/>
  <c r="G137" i="14" s="1"/>
  <c r="F133" i="14"/>
  <c r="G133" i="14" s="1"/>
  <c r="F129" i="14"/>
  <c r="G129" i="14" s="1"/>
  <c r="F125" i="14"/>
  <c r="G125" i="14" s="1"/>
  <c r="F121" i="14"/>
  <c r="G121" i="14" s="1"/>
  <c r="F117" i="14"/>
  <c r="G117" i="14" s="1"/>
  <c r="F113" i="14"/>
  <c r="G113" i="14" s="1"/>
  <c r="F109" i="14"/>
  <c r="G109" i="14" s="1"/>
  <c r="F105" i="14"/>
  <c r="G105" i="14" s="1"/>
  <c r="F101" i="14"/>
  <c r="G101" i="14" s="1"/>
  <c r="F71" i="14"/>
  <c r="G71" i="14" s="1"/>
  <c r="F62" i="14"/>
  <c r="G62" i="14" s="1"/>
  <c r="F60" i="14"/>
  <c r="G60" i="14" s="1"/>
  <c r="F54" i="14"/>
  <c r="G54" i="14" s="1"/>
  <c r="F25" i="14"/>
  <c r="F49" i="14"/>
  <c r="G49" i="14" s="1"/>
  <c r="F10" i="14"/>
  <c r="G10" i="14" s="1"/>
  <c r="F17" i="14"/>
  <c r="F33" i="14"/>
  <c r="F41" i="14"/>
  <c r="G41" i="14" s="1"/>
  <c r="F12" i="14"/>
  <c r="G12" i="14" s="1"/>
  <c r="F22" i="14"/>
  <c r="G22" i="14" s="1"/>
  <c r="F30" i="14"/>
  <c r="G30" i="14" s="1"/>
  <c r="F38" i="14"/>
  <c r="G38" i="14" s="1"/>
  <c r="F46" i="14"/>
  <c r="G46" i="14" s="1"/>
  <c r="E55" i="14"/>
  <c r="F55" i="14" s="1"/>
  <c r="G55" i="14" s="1"/>
  <c r="E63" i="14"/>
  <c r="F63" i="14" s="1"/>
  <c r="G63" i="14" s="1"/>
  <c r="F156" i="1" l="1"/>
  <c r="F148" i="1"/>
  <c r="C26" i="1" l="1"/>
  <c r="D13" i="14" s="1"/>
  <c r="G13" i="14" s="1"/>
  <c r="F75" i="1" l="1"/>
  <c r="F76" i="1"/>
  <c r="F77" i="1"/>
  <c r="E72" i="1"/>
  <c r="I70" i="14" s="1"/>
  <c r="E70" i="1"/>
  <c r="I84" i="14" s="1"/>
  <c r="F71" i="1"/>
  <c r="F83" i="1"/>
  <c r="F84" i="1"/>
  <c r="F85" i="1"/>
  <c r="F86" i="1"/>
  <c r="F87" i="1"/>
  <c r="F88" i="1"/>
  <c r="F70" i="1" l="1"/>
  <c r="F72" i="1"/>
  <c r="D5" i="10"/>
  <c r="D6" i="10"/>
  <c r="E6" i="10" s="1"/>
  <c r="D7" i="10"/>
  <c r="E7" i="10"/>
  <c r="D8" i="10"/>
  <c r="E8" i="10" s="1"/>
  <c r="D9" i="10"/>
  <c r="D10" i="10"/>
  <c r="E10" i="10" s="1"/>
  <c r="F147" i="1"/>
  <c r="F149" i="1"/>
  <c r="F150" i="1"/>
  <c r="F151" i="1"/>
  <c r="F153" i="1"/>
  <c r="F154" i="1"/>
  <c r="F155" i="1"/>
  <c r="F157" i="1"/>
  <c r="F146" i="1"/>
  <c r="F78" i="1"/>
  <c r="F100" i="1"/>
  <c r="D152" i="1"/>
  <c r="H168" i="14" s="1"/>
  <c r="F81" i="1"/>
  <c r="E80" i="1"/>
  <c r="I44" i="14" s="1"/>
  <c r="C79" i="1"/>
  <c r="D36" i="14" s="1"/>
  <c r="G36" i="14" s="1"/>
  <c r="E106" i="1"/>
  <c r="I139" i="14" s="1"/>
  <c r="F111" i="1"/>
  <c r="F145" i="1"/>
  <c r="F121" i="1"/>
  <c r="C60" i="1"/>
  <c r="D89" i="14" s="1"/>
  <c r="G89" i="14" s="1"/>
  <c r="F61" i="1"/>
  <c r="C52" i="1"/>
  <c r="D14" i="14" s="1"/>
  <c r="G14" i="14" s="1"/>
  <c r="C45" i="1"/>
  <c r="D23" i="14" s="1"/>
  <c r="G23" i="14" s="1"/>
  <c r="F37" i="1"/>
  <c r="C10" i="1"/>
  <c r="D37" i="14" s="1"/>
  <c r="G37" i="14" s="1"/>
  <c r="C18" i="1"/>
  <c r="D25" i="14" s="1"/>
  <c r="G25" i="14" s="1"/>
  <c r="F19" i="1"/>
  <c r="F20" i="1"/>
  <c r="C80" i="1" l="1"/>
  <c r="D44" i="14" s="1"/>
  <c r="G44" i="14" s="1"/>
  <c r="C17" i="1"/>
  <c r="F152" i="1"/>
  <c r="F80" i="1"/>
  <c r="E9" i="10"/>
  <c r="C16" i="1" l="1"/>
  <c r="D15" i="14" s="1"/>
  <c r="G15" i="14" s="1"/>
  <c r="D18" i="14"/>
  <c r="G18" i="14" s="1"/>
  <c r="F6" i="1"/>
  <c r="F7" i="1"/>
  <c r="F8" i="1"/>
  <c r="F9" i="1"/>
  <c r="F11" i="1"/>
  <c r="F12" i="1"/>
  <c r="F14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1" i="1"/>
  <c r="F42" i="1"/>
  <c r="F43" i="1"/>
  <c r="F45" i="1"/>
  <c r="F47" i="1"/>
  <c r="F48" i="1"/>
  <c r="F49" i="1"/>
  <c r="F50" i="1"/>
  <c r="F51" i="1"/>
  <c r="F52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3" i="1"/>
  <c r="F74" i="1"/>
  <c r="F79" i="1"/>
  <c r="F82" i="1"/>
  <c r="F89" i="1"/>
  <c r="F90" i="1"/>
  <c r="F91" i="1"/>
  <c r="F92" i="1"/>
  <c r="F93" i="1"/>
  <c r="F94" i="1"/>
  <c r="F95" i="1"/>
  <c r="F96" i="1"/>
  <c r="F97" i="1"/>
  <c r="F98" i="1"/>
  <c r="F99" i="1"/>
  <c r="F101" i="1"/>
  <c r="F102" i="1"/>
  <c r="F103" i="1"/>
  <c r="F104" i="1"/>
  <c r="F105" i="1"/>
  <c r="F107" i="1"/>
  <c r="F109" i="1"/>
  <c r="F110" i="1"/>
  <c r="F112" i="1"/>
  <c r="F113" i="1"/>
  <c r="F114" i="1"/>
  <c r="F115" i="1"/>
  <c r="F116" i="1"/>
  <c r="F117" i="1"/>
  <c r="F118" i="1"/>
  <c r="F119" i="1"/>
  <c r="F120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4" i="1"/>
  <c r="M5" i="10" l="1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G20" i="10" l="1"/>
  <c r="G24" i="10"/>
  <c r="G28" i="10"/>
  <c r="G32" i="10"/>
  <c r="G36" i="10"/>
  <c r="G40" i="10"/>
  <c r="G44" i="10"/>
  <c r="G48" i="10"/>
  <c r="G52" i="10"/>
  <c r="G56" i="10"/>
  <c r="G60" i="10"/>
  <c r="G64" i="10"/>
  <c r="G68" i="10"/>
  <c r="G72" i="10"/>
  <c r="G76" i="10"/>
  <c r="G80" i="10"/>
  <c r="G84" i="10"/>
  <c r="G21" i="10"/>
  <c r="G25" i="10"/>
  <c r="G29" i="10"/>
  <c r="G33" i="10"/>
  <c r="G83" i="10"/>
  <c r="G78" i="10"/>
  <c r="G73" i="10"/>
  <c r="G67" i="10"/>
  <c r="G62" i="10"/>
  <c r="G57" i="10"/>
  <c r="G51" i="10"/>
  <c r="G46" i="10"/>
  <c r="G41" i="10"/>
  <c r="G35" i="10"/>
  <c r="G27" i="10"/>
  <c r="G82" i="10"/>
  <c r="G77" i="10"/>
  <c r="G71" i="10"/>
  <c r="G66" i="10"/>
  <c r="G61" i="10"/>
  <c r="G55" i="10"/>
  <c r="G50" i="10"/>
  <c r="G45" i="10"/>
  <c r="G39" i="10"/>
  <c r="G34" i="10"/>
  <c r="G26" i="10"/>
  <c r="G86" i="10"/>
  <c r="G81" i="10"/>
  <c r="G75" i="10"/>
  <c r="G70" i="10"/>
  <c r="G65" i="10"/>
  <c r="G59" i="10"/>
  <c r="G54" i="10"/>
  <c r="G49" i="10"/>
  <c r="G43" i="10"/>
  <c r="G38" i="10"/>
  <c r="G31" i="10"/>
  <c r="G23" i="10"/>
  <c r="G85" i="10"/>
  <c r="G79" i="10"/>
  <c r="G74" i="10"/>
  <c r="G69" i="10"/>
  <c r="G63" i="10"/>
  <c r="G58" i="10"/>
  <c r="G53" i="10"/>
  <c r="G47" i="10"/>
  <c r="G42" i="10"/>
  <c r="G37" i="10"/>
  <c r="G30" i="10"/>
  <c r="G22" i="10"/>
  <c r="H22" i="10" s="1"/>
  <c r="C78" i="10"/>
  <c r="C79" i="10" s="1"/>
  <c r="B79" i="10"/>
  <c r="B80" i="10" s="1"/>
  <c r="B78" i="10"/>
  <c r="C67" i="10"/>
  <c r="D67" i="10" s="1"/>
  <c r="B67" i="10"/>
  <c r="C66" i="10"/>
  <c r="B66" i="10"/>
  <c r="C65" i="10"/>
  <c r="D65" i="10" s="1"/>
  <c r="B65" i="10"/>
  <c r="C64" i="10"/>
  <c r="B64" i="10"/>
  <c r="C63" i="10"/>
  <c r="D63" i="10" s="1"/>
  <c r="B63" i="10"/>
  <c r="C62" i="10"/>
  <c r="B62" i="10"/>
  <c r="B61" i="10"/>
  <c r="D61" i="10" s="1"/>
  <c r="C61" i="10"/>
  <c r="C60" i="10"/>
  <c r="B60" i="10"/>
  <c r="C59" i="10"/>
  <c r="D59" i="10" s="1"/>
  <c r="B59" i="10"/>
  <c r="C58" i="10"/>
  <c r="B58" i="10"/>
  <c r="C57" i="10"/>
  <c r="B57" i="10"/>
  <c r="C56" i="10"/>
  <c r="B56" i="10"/>
  <c r="C55" i="10"/>
  <c r="D55" i="10" s="1"/>
  <c r="B55" i="10"/>
  <c r="C54" i="10"/>
  <c r="B54" i="10"/>
  <c r="C53" i="10"/>
  <c r="B53" i="10"/>
  <c r="C52" i="10"/>
  <c r="B52" i="10"/>
  <c r="C51" i="10"/>
  <c r="D51" i="10" s="1"/>
  <c r="B51" i="10"/>
  <c r="C50" i="10"/>
  <c r="B50" i="10"/>
  <c r="C49" i="10"/>
  <c r="D49" i="10" s="1"/>
  <c r="B49" i="10"/>
  <c r="C48" i="10"/>
  <c r="B48" i="10"/>
  <c r="C47" i="10"/>
  <c r="D47" i="10" s="1"/>
  <c r="B47" i="10"/>
  <c r="C46" i="10"/>
  <c r="B46" i="10"/>
  <c r="C45" i="10"/>
  <c r="D45" i="10" s="1"/>
  <c r="B45" i="10"/>
  <c r="C44" i="10"/>
  <c r="B44" i="10"/>
  <c r="C43" i="10"/>
  <c r="D43" i="10" s="1"/>
  <c r="B43" i="10"/>
  <c r="C42" i="10"/>
  <c r="C41" i="10"/>
  <c r="B42" i="10"/>
  <c r="D42" i="10" s="1"/>
  <c r="B41" i="10"/>
  <c r="C40" i="10"/>
  <c r="B40" i="10"/>
  <c r="D41" i="10"/>
  <c r="D40" i="10"/>
  <c r="D52" i="10"/>
  <c r="D53" i="10"/>
  <c r="D54" i="10"/>
  <c r="D56" i="10"/>
  <c r="D57" i="10"/>
  <c r="D58" i="10"/>
  <c r="D60" i="10"/>
  <c r="D62" i="10"/>
  <c r="D64" i="10"/>
  <c r="D66" i="10"/>
  <c r="D68" i="10"/>
  <c r="E68" i="10" s="1"/>
  <c r="D69" i="10"/>
  <c r="D70" i="10"/>
  <c r="E70" i="10" s="1"/>
  <c r="D71" i="10"/>
  <c r="D72" i="10"/>
  <c r="D73" i="10"/>
  <c r="D74" i="10"/>
  <c r="E74" i="10" s="1"/>
  <c r="D75" i="10"/>
  <c r="D76" i="10"/>
  <c r="E76" i="10" s="1"/>
  <c r="D77" i="10"/>
  <c r="D78" i="10"/>
  <c r="D81" i="10"/>
  <c r="D82" i="10"/>
  <c r="E82" i="10"/>
  <c r="D83" i="10"/>
  <c r="D84" i="10"/>
  <c r="D85" i="10"/>
  <c r="D86" i="10"/>
  <c r="E86" i="10" s="1"/>
  <c r="D50" i="10"/>
  <c r="D11" i="10"/>
  <c r="D12" i="10"/>
  <c r="E12" i="10" s="1"/>
  <c r="D13" i="10"/>
  <c r="D14" i="10"/>
  <c r="D15" i="10"/>
  <c r="D16" i="10"/>
  <c r="E16" i="10" s="1"/>
  <c r="D17" i="10"/>
  <c r="D18" i="10"/>
  <c r="D19" i="10"/>
  <c r="D20" i="10"/>
  <c r="E20" i="10" s="1"/>
  <c r="D21" i="10"/>
  <c r="D22" i="10"/>
  <c r="E22" i="10" s="1"/>
  <c r="D23" i="10"/>
  <c r="D24" i="10"/>
  <c r="E24" i="10" s="1"/>
  <c r="D25" i="10"/>
  <c r="D26" i="10"/>
  <c r="E26" i="10" s="1"/>
  <c r="D27" i="10"/>
  <c r="D28" i="10"/>
  <c r="E28" i="10" s="1"/>
  <c r="D29" i="10"/>
  <c r="D30" i="10"/>
  <c r="E30" i="10" s="1"/>
  <c r="D31" i="10"/>
  <c r="D32" i="10"/>
  <c r="E32" i="10" s="1"/>
  <c r="D33" i="10"/>
  <c r="D34" i="10"/>
  <c r="E34" i="10" s="1"/>
  <c r="D35" i="10"/>
  <c r="D36" i="10"/>
  <c r="E36" i="10" s="1"/>
  <c r="D37" i="10"/>
  <c r="D38" i="10"/>
  <c r="E38" i="10" s="1"/>
  <c r="D39" i="10"/>
  <c r="E11" i="10"/>
  <c r="E17" i="10"/>
  <c r="E25" i="10"/>
  <c r="E33" i="10"/>
  <c r="D48" i="10"/>
  <c r="D44" i="10"/>
  <c r="D46" i="10"/>
  <c r="D79" i="10" l="1"/>
  <c r="C80" i="10"/>
  <c r="D80" i="10" s="1"/>
  <c r="E81" i="10" s="1"/>
  <c r="E43" i="10"/>
  <c r="H43" i="10" s="1"/>
  <c r="H82" i="10"/>
  <c r="H57" i="10"/>
  <c r="H25" i="10"/>
  <c r="H68" i="10"/>
  <c r="H52" i="10"/>
  <c r="E72" i="10"/>
  <c r="H30" i="10"/>
  <c r="H74" i="10"/>
  <c r="H70" i="10"/>
  <c r="H41" i="10"/>
  <c r="H64" i="10"/>
  <c r="H32" i="10"/>
  <c r="H61" i="10"/>
  <c r="H36" i="10"/>
  <c r="E37" i="10"/>
  <c r="E21" i="10"/>
  <c r="H21" i="10" s="1"/>
  <c r="E13" i="10"/>
  <c r="E18" i="10"/>
  <c r="E14" i="10"/>
  <c r="E75" i="10"/>
  <c r="H75" i="10" s="1"/>
  <c r="E69" i="10"/>
  <c r="H37" i="10"/>
  <c r="H54" i="10"/>
  <c r="H26" i="10"/>
  <c r="H71" i="10"/>
  <c r="H46" i="10"/>
  <c r="H33" i="10"/>
  <c r="H76" i="10"/>
  <c r="H60" i="10"/>
  <c r="H44" i="10"/>
  <c r="H28" i="10"/>
  <c r="E44" i="10"/>
  <c r="H69" i="10"/>
  <c r="H86" i="10"/>
  <c r="H20" i="10"/>
  <c r="E29" i="10"/>
  <c r="H29" i="10" s="1"/>
  <c r="E40" i="10"/>
  <c r="H63" i="10"/>
  <c r="H38" i="10"/>
  <c r="H81" i="10"/>
  <c r="H34" i="10"/>
  <c r="H55" i="10"/>
  <c r="H27" i="10"/>
  <c r="H73" i="10"/>
  <c r="H72" i="10"/>
  <c r="H40" i="10"/>
  <c r="H24" i="10"/>
  <c r="E85" i="10"/>
  <c r="H85" i="10" s="1"/>
  <c r="E84" i="10"/>
  <c r="H84" i="10" s="1"/>
  <c r="E83" i="10"/>
  <c r="H83" i="10" s="1"/>
  <c r="E79" i="10"/>
  <c r="H79" i="10" s="1"/>
  <c r="E78" i="10"/>
  <c r="H78" i="10" s="1"/>
  <c r="E77" i="10"/>
  <c r="H77" i="10" s="1"/>
  <c r="E73" i="10"/>
  <c r="E71" i="10"/>
  <c r="E67" i="10"/>
  <c r="H67" i="10" s="1"/>
  <c r="E66" i="10"/>
  <c r="H66" i="10" s="1"/>
  <c r="E65" i="10"/>
  <c r="H65" i="10" s="1"/>
  <c r="E64" i="10"/>
  <c r="E63" i="10"/>
  <c r="E62" i="10"/>
  <c r="H62" i="10" s="1"/>
  <c r="E61" i="10"/>
  <c r="E60" i="10"/>
  <c r="E59" i="10"/>
  <c r="H59" i="10" s="1"/>
  <c r="E58" i="10"/>
  <c r="H58" i="10" s="1"/>
  <c r="E57" i="10"/>
  <c r="E54" i="10"/>
  <c r="E50" i="10"/>
  <c r="H50" i="10" s="1"/>
  <c r="E53" i="10"/>
  <c r="H53" i="10" s="1"/>
  <c r="E52" i="10"/>
  <c r="E51" i="10"/>
  <c r="H51" i="10" s="1"/>
  <c r="E49" i="10"/>
  <c r="H49" i="10" s="1"/>
  <c r="E47" i="10"/>
  <c r="H47" i="10" s="1"/>
  <c r="E46" i="10"/>
  <c r="E45" i="10"/>
  <c r="H45" i="10" s="1"/>
  <c r="E42" i="10"/>
  <c r="H42" i="10" s="1"/>
  <c r="E56" i="10"/>
  <c r="H56" i="10" s="1"/>
  <c r="E55" i="10"/>
  <c r="E39" i="10"/>
  <c r="H39" i="10" s="1"/>
  <c r="E35" i="10"/>
  <c r="H35" i="10" s="1"/>
  <c r="E31" i="10"/>
  <c r="H31" i="10" s="1"/>
  <c r="E27" i="10"/>
  <c r="E23" i="10"/>
  <c r="H23" i="10" s="1"/>
  <c r="E19" i="10"/>
  <c r="E15" i="10"/>
  <c r="E41" i="10"/>
  <c r="E48" i="10"/>
  <c r="H48" i="10" s="1"/>
  <c r="E80" i="10" l="1"/>
  <c r="H80" i="10" s="1"/>
  <c r="B16" i="2" l="1"/>
  <c r="F19" i="10" s="1"/>
  <c r="G19" i="10" s="1"/>
  <c r="H19" i="10" s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6" i="5"/>
  <c r="C76" i="1"/>
  <c r="D35" i="14" s="1"/>
  <c r="G35" i="14" s="1"/>
  <c r="D108" i="1"/>
  <c r="H117" i="14" s="1"/>
  <c r="E108" i="1"/>
  <c r="I117" i="14" s="1"/>
  <c r="B15" i="2" l="1"/>
  <c r="C77" i="1"/>
  <c r="D48" i="14" s="1"/>
  <c r="G48" i="14" s="1"/>
  <c r="F106" i="1"/>
  <c r="F44" i="1"/>
  <c r="F108" i="1"/>
  <c r="C56" i="1"/>
  <c r="D61" i="14" s="1"/>
  <c r="G61" i="14" s="1"/>
  <c r="E53" i="1"/>
  <c r="D54" i="1"/>
  <c r="H86" i="14" s="1"/>
  <c r="E46" i="1"/>
  <c r="I34" i="14" s="1"/>
  <c r="D46" i="1"/>
  <c r="H34" i="14" s="1"/>
  <c r="C43" i="1"/>
  <c r="D33" i="14" s="1"/>
  <c r="G33" i="14" s="1"/>
  <c r="C39" i="1"/>
  <c r="D17" i="14" s="1"/>
  <c r="G17" i="14" s="1"/>
  <c r="C35" i="1"/>
  <c r="D58" i="14" s="1"/>
  <c r="G58" i="14" s="1"/>
  <c r="E5" i="1"/>
  <c r="I54" i="14" s="1"/>
  <c r="E10" i="1"/>
  <c r="I37" i="14" s="1"/>
  <c r="C14" i="1"/>
  <c r="D50" i="14" s="1"/>
  <c r="G50" i="14" s="1"/>
  <c r="F18" i="10" l="1"/>
  <c r="G18" i="10" s="1"/>
  <c r="H18" i="10" s="1"/>
  <c r="B14" i="2"/>
  <c r="I59" i="14"/>
  <c r="F53" i="1"/>
  <c r="C53" i="1"/>
  <c r="D59" i="14" s="1"/>
  <c r="G59" i="14" s="1"/>
  <c r="F5" i="1"/>
  <c r="F122" i="1"/>
  <c r="F46" i="1"/>
  <c r="F54" i="1"/>
  <c r="F10" i="1"/>
  <c r="C40" i="1"/>
  <c r="D31" i="14" s="1"/>
  <c r="G31" i="14" s="1"/>
  <c r="C44" i="1"/>
  <c r="D42" i="14" s="1"/>
  <c r="G42" i="14" s="1"/>
  <c r="C46" i="1"/>
  <c r="D34" i="14" s="1"/>
  <c r="G34" i="14" s="1"/>
  <c r="B13" i="2" l="1"/>
  <c r="E7" i="14"/>
  <c r="F7" i="14" s="1"/>
  <c r="G7" i="14" s="1"/>
  <c r="F17" i="10"/>
  <c r="G17" i="10" s="1"/>
  <c r="H17" i="10" s="1"/>
  <c r="C74" i="1"/>
  <c r="D72" i="14" s="1"/>
  <c r="G72" i="14" s="1"/>
  <c r="E40" i="1"/>
  <c r="I31" i="14" s="1"/>
  <c r="B12" i="2" l="1"/>
  <c r="F16" i="10"/>
  <c r="G16" i="10" s="1"/>
  <c r="H16" i="10" s="1"/>
  <c r="F13" i="1"/>
  <c r="F40" i="1"/>
  <c r="B11" i="2" l="1"/>
  <c r="F15" i="10"/>
  <c r="G15" i="10" s="1"/>
  <c r="H15" i="10" s="1"/>
  <c r="C27" i="1"/>
  <c r="D20" i="14" s="1"/>
  <c r="G20" i="14" s="1"/>
  <c r="B10" i="2" l="1"/>
  <c r="E6" i="14"/>
  <c r="F6" i="14" s="1"/>
  <c r="G6" i="14" s="1"/>
  <c r="F14" i="10"/>
  <c r="G14" i="10" s="1"/>
  <c r="H14" i="10" s="1"/>
  <c r="B9" i="2" l="1"/>
  <c r="E163" i="14"/>
  <c r="F163" i="14" s="1"/>
  <c r="G163" i="14" s="1"/>
  <c r="F13" i="10"/>
  <c r="G13" i="10" s="1"/>
  <c r="H13" i="10" s="1"/>
  <c r="B8" i="2" l="1"/>
  <c r="F12" i="10"/>
  <c r="G12" i="10" s="1"/>
  <c r="H12" i="10" s="1"/>
  <c r="B7" i="2" l="1"/>
  <c r="F11" i="10"/>
  <c r="G11" i="10" s="1"/>
  <c r="H11" i="10" s="1"/>
  <c r="F10" i="10" l="1"/>
  <c r="G10" i="10" s="1"/>
  <c r="H10" i="10" s="1"/>
  <c r="B6" i="2"/>
  <c r="B5" i="2" l="1"/>
  <c r="F9" i="10"/>
  <c r="G9" i="10" s="1"/>
  <c r="H9" i="10" s="1"/>
  <c r="B4" i="2" l="1"/>
  <c r="F8" i="10"/>
  <c r="G8" i="10" s="1"/>
  <c r="H8" i="10" s="1"/>
  <c r="B3" i="2" l="1"/>
  <c r="E162" i="14"/>
  <c r="F162" i="14" s="1"/>
  <c r="G162" i="14" s="1"/>
  <c r="F7" i="10"/>
  <c r="G7" i="10" s="1"/>
  <c r="H7" i="10" s="1"/>
  <c r="B2" i="2" l="1"/>
  <c r="F6" i="10"/>
  <c r="G6" i="10" s="1"/>
  <c r="H6" i="10" s="1"/>
</calcChain>
</file>

<file path=xl/comments1.xml><?xml version="1.0" encoding="utf-8"?>
<comments xmlns="http://schemas.openxmlformats.org/spreadsheetml/2006/main">
  <authors>
    <author>Kirtlab</author>
  </authors>
  <commentList>
    <comment ref="O5" authorId="0">
      <text>
        <r>
          <rPr>
            <b/>
            <sz val="9"/>
            <color indexed="81"/>
            <rFont val="Tahoma"/>
            <charset val="1"/>
          </rPr>
          <t>Kirtlab:</t>
        </r>
        <r>
          <rPr>
            <sz val="9"/>
            <color indexed="81"/>
            <rFont val="Tahoma"/>
            <charset val="1"/>
          </rPr>
          <t xml:space="preserve">
Some items in the CPI basket exclude GST, so this index may slightly understate underlying inflation.</t>
        </r>
      </text>
    </comment>
    <comment ref="N73" authorId="0">
      <text>
        <r>
          <rPr>
            <b/>
            <sz val="9"/>
            <color indexed="81"/>
            <rFont val="Tahoma"/>
            <family val="2"/>
          </rPr>
          <t>Kirtlab:</t>
        </r>
        <r>
          <rPr>
            <sz val="9"/>
            <color indexed="81"/>
            <rFont val="Tahoma"/>
            <family val="2"/>
          </rPr>
          <t xml:space="preserve">
GST introduced October 1986</t>
        </r>
      </text>
    </comment>
    <comment ref="N76" authorId="0">
      <text>
        <r>
          <rPr>
            <b/>
            <sz val="9"/>
            <color indexed="81"/>
            <rFont val="Tahoma"/>
            <family val="2"/>
          </rPr>
          <t>Kirtlab:</t>
        </r>
        <r>
          <rPr>
            <sz val="9"/>
            <color indexed="81"/>
            <rFont val="Tahoma"/>
            <family val="2"/>
          </rPr>
          <t xml:space="preserve">
Changed from 10% to 12.5% in July 1989</t>
        </r>
      </text>
    </comment>
    <comment ref="N97" authorId="0">
      <text>
        <r>
          <rPr>
            <b/>
            <sz val="9"/>
            <color indexed="81"/>
            <rFont val="Tahoma"/>
            <family val="2"/>
          </rPr>
          <t>Kirtlab:</t>
        </r>
        <r>
          <rPr>
            <sz val="9"/>
            <color indexed="81"/>
            <rFont val="Tahoma"/>
            <family val="2"/>
          </rPr>
          <t xml:space="preserve">
GST rose to 15% effective 1 October 2010
Have split the difference between 12.5% and 15% to approximate the full year impact for the year ended March</t>
        </r>
      </text>
    </comment>
  </commentList>
</comments>
</file>

<file path=xl/sharedStrings.xml><?xml version="1.0" encoding="utf-8"?>
<sst xmlns="http://schemas.openxmlformats.org/spreadsheetml/2006/main" count="438" uniqueCount="320">
  <si>
    <t>Rangipo</t>
  </si>
  <si>
    <t>Lake Taupo control</t>
  </si>
  <si>
    <t>Aratiatia</t>
  </si>
  <si>
    <t>Ohakuri</t>
  </si>
  <si>
    <t>Atiamuri</t>
  </si>
  <si>
    <t>Whakamaru</t>
  </si>
  <si>
    <t>Maraetai</t>
  </si>
  <si>
    <t>Waipapa</t>
  </si>
  <si>
    <t>Arapuni</t>
  </si>
  <si>
    <t>Karapiro</t>
  </si>
  <si>
    <t>Matahina</t>
  </si>
  <si>
    <t>Lake Waikaremoana control</t>
  </si>
  <si>
    <t>Kaitawa</t>
  </si>
  <si>
    <t>Piripaua</t>
  </si>
  <si>
    <t>Mangahao</t>
  </si>
  <si>
    <t>Tekapo A</t>
  </si>
  <si>
    <t>Tekapo B</t>
  </si>
  <si>
    <t>Lake Pukaki control</t>
  </si>
  <si>
    <t>Benmore</t>
  </si>
  <si>
    <t>Aviemore</t>
  </si>
  <si>
    <t>Waitaki</t>
  </si>
  <si>
    <t>Lake Wakatipu control</t>
  </si>
  <si>
    <t>Lake Hawea control</t>
  </si>
  <si>
    <t>Roxburgh</t>
  </si>
  <si>
    <t>Arnold</t>
  </si>
  <si>
    <t>Lake Coleridge</t>
  </si>
  <si>
    <t>Highbank</t>
  </si>
  <si>
    <t>Lake Manapouri control</t>
  </si>
  <si>
    <t>Lake Te Anau control</t>
  </si>
  <si>
    <t>Manapouri</t>
  </si>
  <si>
    <t>Monowai</t>
  </si>
  <si>
    <t>Ohau A</t>
  </si>
  <si>
    <t>Twizel control</t>
  </si>
  <si>
    <t>Upper Waitaki control</t>
  </si>
  <si>
    <t>Marsden A</t>
  </si>
  <si>
    <t>Marsden B</t>
  </si>
  <si>
    <t>Otahuhu A</t>
  </si>
  <si>
    <t>Meremere</t>
  </si>
  <si>
    <t>Wairakei</t>
  </si>
  <si>
    <t>New Plymouth</t>
  </si>
  <si>
    <t>Stratford</t>
  </si>
  <si>
    <t>Cobb</t>
  </si>
  <si>
    <t>Project</t>
  </si>
  <si>
    <t>Cost</t>
  </si>
  <si>
    <t>Year</t>
  </si>
  <si>
    <t>MW</t>
  </si>
  <si>
    <t>Notes</t>
  </si>
  <si>
    <t>Costs from 1986 NZED report unless otherwise noted ($ values - any pound values from pre 1967 reports converted 1-&gt;$2)</t>
  </si>
  <si>
    <t>Maraetai II</t>
  </si>
  <si>
    <t>Last 2 units installed 1946  (estm. cost from diff in capex post/pre)</t>
  </si>
  <si>
    <t>Approx GWh</t>
  </si>
  <si>
    <t>Tuai</t>
  </si>
  <si>
    <t>Tongariro control (incl. Tokaanu)</t>
  </si>
  <si>
    <t>Ohau B</t>
  </si>
  <si>
    <t>Ohau C</t>
  </si>
  <si>
    <t>1957 NZED report value</t>
  </si>
  <si>
    <t>2 new units 7.5MW each</t>
  </si>
  <si>
    <t>Later developments and GWh from TrustPower website (some turbines now retired - others upgraded)</t>
  </si>
  <si>
    <t>Acheron River division and additional unit (1950 NZED report value)</t>
  </si>
  <si>
    <t>Clyde</t>
  </si>
  <si>
    <t>Huntly</t>
  </si>
  <si>
    <t>Huntly e3P</t>
  </si>
  <si>
    <t>Huntly P40</t>
  </si>
  <si>
    <t>Ngatamariki</t>
  </si>
  <si>
    <t>Kawerau - TOPP 1</t>
  </si>
  <si>
    <t>Stratford Peaker</t>
  </si>
  <si>
    <t>Te Rere Hau</t>
  </si>
  <si>
    <t>Te Uku</t>
  </si>
  <si>
    <t>Mahinerangi</t>
  </si>
  <si>
    <t>Marsden Diesel</t>
  </si>
  <si>
    <t>Mount Stuart</t>
  </si>
  <si>
    <t>Te Huka</t>
  </si>
  <si>
    <t>Nga Awa Purua</t>
  </si>
  <si>
    <t>West Wind</t>
  </si>
  <si>
    <t>Kawerau Geothermal</t>
  </si>
  <si>
    <t>Tararua Stage 3</t>
  </si>
  <si>
    <t>White Hill</t>
  </si>
  <si>
    <t>Pan Pac</t>
  </si>
  <si>
    <t>Whirinaki 2</t>
  </si>
  <si>
    <t>Tararua Stage 2</t>
  </si>
  <si>
    <t>Te Apiti</t>
  </si>
  <si>
    <t>Otahuhu B</t>
  </si>
  <si>
    <t>TCC - Taranaki Combined Cycle</t>
  </si>
  <si>
    <t>Opuha</t>
  </si>
  <si>
    <t>Te Rapa</t>
  </si>
  <si>
    <t>Ngawha</t>
  </si>
  <si>
    <t>Hau Nui</t>
  </si>
  <si>
    <t>Kiwi Dairy, Hawera (Whareroa)</t>
  </si>
  <si>
    <t>Southdown</t>
  </si>
  <si>
    <t>Glenbrook</t>
  </si>
  <si>
    <t>Poihipi Rd</t>
  </si>
  <si>
    <t>Rotokawa</t>
  </si>
  <si>
    <t>Kapuni</t>
  </si>
  <si>
    <t>Kinleith</t>
  </si>
  <si>
    <t>Te Awamutu - Anchor Products</t>
  </si>
  <si>
    <t>Bay Milk Edgecumbe</t>
  </si>
  <si>
    <t>Ohaaki</t>
  </si>
  <si>
    <t>Patea</t>
  </si>
  <si>
    <t>Paerau</t>
  </si>
  <si>
    <t>Lloyd Mandeno</t>
  </si>
  <si>
    <t>Teviot</t>
  </si>
  <si>
    <t>Wheao and Flaxy Scheme</t>
  </si>
  <si>
    <t>Ruahihi</t>
  </si>
  <si>
    <t>Aniwhenua</t>
  </si>
  <si>
    <t>Lower Mangapapa</t>
  </si>
  <si>
    <t>Kawerau - TPP</t>
  </si>
  <si>
    <t>Mokai</t>
  </si>
  <si>
    <t>6 units. Value from NZED 1965 report</t>
  </si>
  <si>
    <t>-</t>
  </si>
  <si>
    <t>M1 Consumers price index (CPI)</t>
  </si>
  <si>
    <t>Consumers price index (CPI)</t>
  </si>
  <si>
    <t>(Index)</t>
  </si>
  <si>
    <t>(q/q%)</t>
  </si>
  <si>
    <t>(y/y%)</t>
  </si>
  <si>
    <t>..</t>
  </si>
  <si>
    <t>Last updated 17 May 2013</t>
  </si>
  <si>
    <t>Source: Statistics New Zealand</t>
  </si>
  <si>
    <t>Quarter :</t>
  </si>
  <si>
    <t>(Reserve Bank - see http://www.rbnz.govt.nz/statistics/economic_indicators/m1/data.html)</t>
  </si>
  <si>
    <t>Plant</t>
  </si>
  <si>
    <t>Build Year</t>
  </si>
  <si>
    <t>CPI adj</t>
  </si>
  <si>
    <t xml:space="preserve">CPI Reference Year </t>
  </si>
  <si>
    <t>Equivalent capital costs</t>
  </si>
  <si>
    <t>Variable O&amp;M ($/MWh)</t>
  </si>
  <si>
    <t>Fixed O&amp;M ($/KW)</t>
  </si>
  <si>
    <t>Transmission</t>
  </si>
  <si>
    <t>Substations</t>
  </si>
  <si>
    <t>Total capital value</t>
  </si>
  <si>
    <t>Total</t>
  </si>
  <si>
    <t>Difference</t>
  </si>
  <si>
    <t>Build Year CPI</t>
  </si>
  <si>
    <t>Implied outage factor</t>
  </si>
  <si>
    <t>Whirinaki 1</t>
  </si>
  <si>
    <t>Second 2 units installed 1938 21.6MW each (estm. cost based on last 2 units) plus uprated original unit capacity (from 15MW to 17.85MW - split this between the two expansions)</t>
  </si>
  <si>
    <t>Capital Outlay and Annual Operation Costs - NZED</t>
  </si>
  <si>
    <t>Last unit installed 1962</t>
  </si>
  <si>
    <t>Total final capacity 164MW before later refurbishment</t>
  </si>
  <si>
    <t>Final capacity = 194MW (ACS data). GWh = 805 (avrg). Assumed to add all but 1MW of the increased capcity in the $50M 1990 upgrade</t>
  </si>
  <si>
    <t>GWh split based on MW capacity</t>
  </si>
  <si>
    <t>GWh estm. 1946 NZED cost</t>
  </si>
  <si>
    <t xml:space="preserve">Substantial dredging and sand trap (total from NZED 1986 value) </t>
  </si>
  <si>
    <t>1986 NZED value</t>
  </si>
  <si>
    <t>Wilberforce diversion. Capital value from 1986 NZED report</t>
  </si>
  <si>
    <t>http://www.delahyde.com/tauranga/pagest/mandeno.html</t>
  </si>
  <si>
    <t>http://www.delahyde.com/tauranga/pagest/mangapapa.html</t>
  </si>
  <si>
    <t>Second tail race and transformer upgrade : http://www.meridianenergy.co.nz/assets/PDF/What-we-do/Our-power-stations/0151MEDManapouriwebPDF.pdf</t>
  </si>
  <si>
    <t>Generator refurbishment (MCR = 850MW, but limited to 800MW due to resource consents)</t>
  </si>
  <si>
    <t>Replacement of Pelton wheels with Francis turbines (PPP) http://horowhenua.kete.net.nz/documents/0000/0000/2864/Mangahao_Power_Station_-_Refurbishment_Project_1992-1994.pdf</t>
  </si>
  <si>
    <t>Original installation was 19.2MW. Capital cost NZED report 1986 value</t>
  </si>
  <si>
    <t>1969 cost total pre Maraetai II build. Assigned all GWh to M1 (M2 is a 'peaker' in parallel to M1)</t>
  </si>
  <si>
    <t>Earthquake strengthening http://www.waterpowermagazine.com/news/newsmatahina-changes-hands</t>
  </si>
  <si>
    <t>McKee</t>
  </si>
  <si>
    <t xml:space="preserve">Expansion cost estimated based on $8US million unit cost http://www.electricenergyonline.com/?page=show_news&amp;id=46596 </t>
  </si>
  <si>
    <t>http://www.mightyriver.co.nz/Media-Centre/Latest-News/2012-Archive/Mighty-River-Power-Development-Projects-Update.aspx</t>
  </si>
  <si>
    <t>http://www.risiinfo.com/db_area/archive/ppi_mag/1999/9907/5newzeal.htm</t>
  </si>
  <si>
    <t>http://www.delahyde.com/tauranga/pagest/ruahihi.html</t>
  </si>
  <si>
    <t>Pow Wow Newsletter Nov 1989</t>
  </si>
  <si>
    <t>Geothermal Market: A renewable energy for the future</t>
  </si>
  <si>
    <t>$US34m.  grsj.gr.jp/iga/iga-files/NZ_gpp_cost_estimate_2007basis.pdf</t>
  </si>
  <si>
    <t>1961 commissioning from PPP. 1986 NZED report capital costs</t>
  </si>
  <si>
    <t>1986 NZED report capital costs</t>
  </si>
  <si>
    <t>Value from NZED report 1975. GWh estimated</t>
  </si>
  <si>
    <t>Value from NZED report 1986. GWh estimated</t>
  </si>
  <si>
    <t>http://www.riley.co.nz/documents/Published%20Articles/Patea_Hydro_Case_History_Environ_Predictions.pdf</t>
  </si>
  <si>
    <t>http://www.stuff.co.nz/dominion-post/business/7297575/Geothermal-pioneer-took-on-some-big-opponents</t>
  </si>
  <si>
    <t>Treated as part of Roxburgh output</t>
  </si>
  <si>
    <t>Last four units installed in 1962 after Lake Hawea control put in allowing additional water storage. GWh figure based on Lake Hawea storage. http://www.mfe.govt.nz/rma/central/nps/hearing-proceeding/40-9-contact-energy-clutha-schemeowerpoint.pdf</t>
  </si>
  <si>
    <t>2 * 45MW LM6000 + 35MW Steam Turbine. Capital costs estimated based on PB report for Electricity Commission July 2009 Thermal Power Station Advice</t>
  </si>
  <si>
    <t>Expansion - 1 * 45 MW. Capital costs estimated based on PB report for Electricity Commission July 2009 Thermal Power Station Advice</t>
  </si>
  <si>
    <t>Decommissioned in 2001. Capital cost 1986 NZED report. GWh estimated</t>
  </si>
  <si>
    <t>http://www.nzherald.co.nz/business/news/article.cfm?c_id=3&amp;objectid=10647323</t>
  </si>
  <si>
    <t>http://windenergy.org.nz/documents/case/tararua_web.pdf</t>
  </si>
  <si>
    <t>Capital cost estimated based on PB report for Electricity Commission July 2009 Thermal Power Station Advice</t>
  </si>
  <si>
    <t>PB Electricity Generation database SOO Update 2006</t>
  </si>
  <si>
    <t>http://www.royalsociety.org.nz/1996/01/18/new-power-station-a-winner-says-energy-minister/</t>
  </si>
  <si>
    <t xml:space="preserve">http://www.windflow.co.nz/news/clippings/2004-2005/southern-firm-gets-green-light-for-tararua-wind-farm </t>
  </si>
  <si>
    <t>http://www.coffey.com/our-news/latest-news/te-uku-windfarm-provides-community-benefits</t>
  </si>
  <si>
    <t>1950 NZED report costs. GWh estimated.</t>
  </si>
  <si>
    <t>Additional 2 turbines and penstocks added after other upstream work increased water storage. 1986 NZED report capital costs</t>
  </si>
  <si>
    <t>http://www.contrafedpublishing.co.nz/Contractor/2008/June+2008/Where+the+wind+blows.html</t>
  </si>
  <si>
    <t>http://www.beehive.govt.nz/release/pm-opens-new-mckee-power-plant-taranaki</t>
  </si>
  <si>
    <t>http://www.beehive.govt.nz/release/whirinaki-power-plant-adds-electricity-supply-security</t>
  </si>
  <si>
    <t>1960 NZED report capital costs</t>
  </si>
  <si>
    <t>3 x 30 MW units  + 3 x 11.2 MW units. 1986 NZED report capital costs</t>
  </si>
  <si>
    <t>Capital cost based on PB Electricity Generation database SOO Update 2006</t>
  </si>
  <si>
    <t>Waipori</t>
  </si>
  <si>
    <t>4 x 1MW</t>
  </si>
  <si>
    <t>Station 2A (18MW)</t>
  </si>
  <si>
    <t>No.2 station demolished</t>
  </si>
  <si>
    <t>2 x 18MW added to 2A (Trustpower has total station capacity at 58MW)</t>
  </si>
  <si>
    <t>No. 3 and No. 4 stations (6.4MW and 7.2MW) Trustpower has the capacity of these at 7.6MW and 8 MW)</t>
  </si>
  <si>
    <t>Decommissioning</t>
  </si>
  <si>
    <t>http://www.oag.govt.nz/2001/opuha-dam/docs/opuha.pdf/view</t>
  </si>
  <si>
    <t>Capital cost estimated based on PB Electricity Generation database SOO Update 2006</t>
  </si>
  <si>
    <t>Estimated based on PB report Thermal power station advice - reciprocating engines study</t>
  </si>
  <si>
    <t xml:space="preserve">Essentially decommissioned for energy generation purposes </t>
  </si>
  <si>
    <t>1986 NZED report capital costs. GWh estimated</t>
  </si>
  <si>
    <t>Effectively mothballed on the completion of the station</t>
  </si>
  <si>
    <t>Essentially decommissioned for energy generation purposes (very rarely ran after the mid 80s)</t>
  </si>
  <si>
    <t>Addition of 8 more turbines. Capital cost estimated based on PB Electricity Generation database SOO Update 2006</t>
  </si>
  <si>
    <t>Assumed same $/MW capital charge as Ruahihi</t>
  </si>
  <si>
    <t>www.energynews.co.nz</t>
  </si>
  <si>
    <t>http://www.trustpower.co.nz/index.php?action=view&amp;id=242&amp;module=newsmodule&amp;src=@random48f670a85b5d9</t>
  </si>
  <si>
    <t>http://www.mightyriver.co.nz/Media-Centre/Latest-News/2010-Archive/New-Power-Station-Adds-To-Grid-Capacity.aspx</t>
  </si>
  <si>
    <t>http://tvnz.co.nz/content/1171908/4202557.xhtml</t>
  </si>
  <si>
    <t>Genesis 2007 Annual Report</t>
  </si>
  <si>
    <t>Output included in generating stations</t>
  </si>
  <si>
    <t>1970 NZED report cost pre Pukaki high-dam. Output included in generating stations</t>
  </si>
  <si>
    <t>1986 NZED report capital costs. Output included in generating stations</t>
  </si>
  <si>
    <t>Time based on the third Tuai unit going in (output included in generating stations)</t>
  </si>
  <si>
    <t>Treated as part of the main Manapouri construction. Output included in generating station</t>
  </si>
  <si>
    <t>Cogen capital cost assumed priced at OCGT adjusted for inflation. PB report for Electricity Commission July 2009 Thermal Power Station Advice</t>
  </si>
  <si>
    <t>Electricity Authority Generating Station List</t>
  </si>
  <si>
    <t>http://www.pwcl.co.nz/cogeneration.php</t>
  </si>
  <si>
    <t>2 additional 3MW generators</t>
  </si>
  <si>
    <r>
      <rPr>
        <sz val="11"/>
        <color theme="10"/>
        <rFont val="Calibri"/>
        <family val="2"/>
      </rPr>
      <t xml:space="preserve">Est. $40US = $60NZ. </t>
    </r>
    <r>
      <rPr>
        <u/>
        <sz val="11"/>
        <color theme="10"/>
        <rFont val="Calibri"/>
        <family val="2"/>
        <scheme val="minor"/>
      </rPr>
      <t>http://www.power-technology.com/projects/mokai/</t>
    </r>
  </si>
  <si>
    <t>Total Tuia capacity 60. Included upgrade of 16MW units to 20MW. 1986 NZED report capital costs</t>
  </si>
  <si>
    <t>1940 NZED report capital costs</t>
  </si>
  <si>
    <t>Expansion to 25MW. http://www.topenergy.co.nz/generation-ngawha-power.shtml</t>
  </si>
  <si>
    <t>Assuming 0.6 =  US/NZ. http://www.encyclopedia.com/doc/1G2-2690300084.html</t>
  </si>
  <si>
    <t>Estimated based on generic geothermal cost (CPI adj) PB 2011 NZ Generation Data Update</t>
  </si>
  <si>
    <t>New mini-hydro. Assumed same $/MW capital charge as Ruahihi (CPI adj)</t>
  </si>
  <si>
    <t>2 x 1MW (GWh all prorated based on final capacity/GWh). Capital costs based on Ruahihi CPI adjusted.</t>
  </si>
  <si>
    <t>Early development from PPP. Early GWh figures and capital expenditure estm. based on MW build. 3 x 1.5 MW</t>
  </si>
  <si>
    <t>1 additional 1.5MW turbine installed</t>
  </si>
  <si>
    <t>15 year upgrade noted in PPP. GWh estm. Capital cost estm. based on half of Benmore refurbishment (CPI adjusted).</t>
  </si>
  <si>
    <r>
      <rPr>
        <sz val="11"/>
        <rFont val="Calibri"/>
        <family val="2"/>
        <scheme val="minor"/>
      </rPr>
      <t xml:space="preserve">Refurbishment. </t>
    </r>
    <r>
      <rPr>
        <u/>
        <sz val="11"/>
        <color theme="10"/>
        <rFont val="Calibri"/>
        <family val="2"/>
        <scheme val="minor"/>
      </rPr>
      <t>http://www.odt.co.nz/the-regions/north-otago/29502/benmore-gets-more-with-first-full-rebuild</t>
    </r>
  </si>
  <si>
    <t>1986 NZED report capital costs. First 2 units operating in 1947, last unit installed 1948</t>
  </si>
  <si>
    <t>1986 NZED report capital costs. Original MW capacity was 32. Upgraded since then</t>
  </si>
  <si>
    <t>Cogen capital cost assumed priced at OCGT adjusted for inflation. PB report for Electricity Commission July 2009 Thermal Power Station Advice.</t>
  </si>
  <si>
    <t>Furnace cogen in 1987. Cogen capital cost assumed priced at OCGT adjusted for inflation. PB report for Electricity Commission July 2009 Thermal Power Station Advice.</t>
  </si>
  <si>
    <t>Kiln cogen in 1997. Cogen capital cost assumed priced at OCGT adjusted for inflation. PB report for Electricity Commission July 2009 Thermal Power Station Advice.</t>
  </si>
  <si>
    <t>Transforming Power: The Politics of Electricity Planning (1994 cost in reference notes).</t>
  </si>
  <si>
    <t xml:space="preserve">NZ Energy Future : A look ahead. Energy Foundation of New Zealand Nov 1996 </t>
  </si>
  <si>
    <t>Uncertain date - there were controls installed in the 20s mainly to facilitate getting at gold in the riverbed</t>
  </si>
  <si>
    <t>Atiamuri Stage 2</t>
  </si>
  <si>
    <t>Maraetai Stage 2</t>
  </si>
  <si>
    <t>Arapuni Stage 2</t>
  </si>
  <si>
    <t>Arapuni Stage 3</t>
  </si>
  <si>
    <t>Arapuni Stage 4</t>
  </si>
  <si>
    <t>Arapuni Stage 5</t>
  </si>
  <si>
    <t>Matahina Stage 2</t>
  </si>
  <si>
    <t>Tuai Stage 2</t>
  </si>
  <si>
    <t>Mangahao Stage 2</t>
  </si>
  <si>
    <t>Mangahao Stage 3</t>
  </si>
  <si>
    <t>Lake Pukaki control Stage 2</t>
  </si>
  <si>
    <t>Benmore  Stage 2</t>
  </si>
  <si>
    <t>Waitaki Stage 2</t>
  </si>
  <si>
    <t>Roxburgh  Stage 2</t>
  </si>
  <si>
    <t>Cobb Stage 2</t>
  </si>
  <si>
    <t>Lake Coleridge Stage 2</t>
  </si>
  <si>
    <t>Lake Coleridge Stage 3</t>
  </si>
  <si>
    <t>Lake Coleridge Stage 4</t>
  </si>
  <si>
    <t>Lake Coleridge Stage 5</t>
  </si>
  <si>
    <t>Lake Coleridge Stage 6</t>
  </si>
  <si>
    <t>Lake Coleridge Stage 7</t>
  </si>
  <si>
    <t>Highbank Stage 2</t>
  </si>
  <si>
    <t>Manapouri Stage 2</t>
  </si>
  <si>
    <t>Manapouri Stage 3</t>
  </si>
  <si>
    <t>Marsden A Retirement</t>
  </si>
  <si>
    <t>Marsden B Retirement</t>
  </si>
  <si>
    <t>Otahuhu A Stage 2</t>
  </si>
  <si>
    <t>Otahuhu A Retirement</t>
  </si>
  <si>
    <t>Meremere Stage 2</t>
  </si>
  <si>
    <t>Meremere Retirement</t>
  </si>
  <si>
    <t>Wairakei Stage 2</t>
  </si>
  <si>
    <t>Wairakei Stage 3</t>
  </si>
  <si>
    <t>New Plymouth Retirement</t>
  </si>
  <si>
    <t>Stratford Retirement</t>
  </si>
  <si>
    <t>Whirinaki 1 Retirement</t>
  </si>
  <si>
    <t>Te Awamutu - Anchor Products Retirement</t>
  </si>
  <si>
    <t>Hau Nui Stage 2</t>
  </si>
  <si>
    <t>Southdown Stage 2</t>
  </si>
  <si>
    <t>Glenbrook Stage 2</t>
  </si>
  <si>
    <t>Rotokawa Stage 2</t>
  </si>
  <si>
    <t>Ngawha Stage 2</t>
  </si>
  <si>
    <t>Tararua</t>
  </si>
  <si>
    <t>Mokai Stage 2</t>
  </si>
  <si>
    <t>Mokai Stage 3</t>
  </si>
  <si>
    <t>Otahuhu B Stage 2</t>
  </si>
  <si>
    <t>Waipori Stage 2</t>
  </si>
  <si>
    <t>Waipori Stage 3</t>
  </si>
  <si>
    <t>Waipori Stage 4</t>
  </si>
  <si>
    <t>Waipori Stage 5</t>
  </si>
  <si>
    <t>Waipori Stage 6</t>
  </si>
  <si>
    <t>Waipori Stage 7</t>
  </si>
  <si>
    <t>Waipori Stage 8</t>
  </si>
  <si>
    <t>Waipori Stage 9</t>
  </si>
  <si>
    <t>New dam and powerhouse (No. 1 station)</t>
  </si>
  <si>
    <t>Waipori Stage 1 &amp; 2 retirement</t>
  </si>
  <si>
    <t>Retirement of 1 MW turbines</t>
  </si>
  <si>
    <t>Replacement with 5 x 3MW and 2 x 3.4MW (No. 2 station)</t>
  </si>
  <si>
    <t>Waipori Stage 3 retirement</t>
  </si>
  <si>
    <t>Waipori Stage 4 retirement</t>
  </si>
  <si>
    <t>Added 1 x 3MW Station 1 (with second tunnel completed in 1941)</t>
  </si>
  <si>
    <t>No. 1 station demolished</t>
  </si>
  <si>
    <t>No. 1 station replaced by station 1A (10MW)</t>
  </si>
  <si>
    <t>7th unit.</t>
  </si>
  <si>
    <t>Note : One unit went to TeAwamutu in 1993. Capital cost 1986 NZED report. GWh estimated</t>
  </si>
  <si>
    <t>Non Electricity Division</t>
  </si>
  <si>
    <t>Tongariro control (incl. Tokaanu) Stage 2</t>
  </si>
  <si>
    <t>1940 Arapuni capital value = 0.110842+1.284955+0.431.238+0.702073 = 2.529108 * 2 =  5.058216 (1940 NZED report)
1950 value = 0.119628+1.425489+0.499580+1.063128 = 3.107825 * 2 = 6.21565 (1950 NZED report). Compare to 6.359782 1958 Capital Outlay figure
GWh based on MW split of first 3 stages (first stage = 37%  of 805 GWh = 300). Assumed only marginal increase in GWh in the later refurbishment work.</t>
  </si>
  <si>
    <t>Cost ($m)</t>
  </si>
  <si>
    <t>$2013 cost</t>
  </si>
  <si>
    <t>CPI ratio</t>
  </si>
  <si>
    <t>Annual GWh</t>
  </si>
  <si>
    <t>Cap. MW</t>
  </si>
  <si>
    <t>NZED Plant</t>
  </si>
  <si>
    <t>Non Electricity Division (continued)</t>
  </si>
  <si>
    <t>Post Electricity Division (ECNZ or subsequent organisation changes to NZED plant)</t>
  </si>
  <si>
    <t>ME Expenditure</t>
  </si>
  <si>
    <t>Transmission expenditure</t>
  </si>
  <si>
    <t>Source NZED annual reports : Transmission and Substation national totals (less 11kv distribution and secondary distribution) - converted to $ pre 1967</t>
  </si>
  <si>
    <t>GST</t>
  </si>
  <si>
    <t>CPI less GST</t>
  </si>
  <si>
    <t>CPI</t>
  </si>
  <si>
    <t>Reserve Bank CPI March Year:  June 2006 = 1000 adjusted to remove GST - see CPI Source sheet</t>
  </si>
  <si>
    <t>Build year CPI (adj)</t>
  </si>
  <si>
    <t>CPI Index (adj)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</si>
</sst>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164" formatCode="[$-10409]mmm\ yyyy"/>
    <numFmt numFmtId="165" formatCode="[$-10409]#,##0.0;\-#,##0.0"/>
    <numFmt numFmtId="166" formatCode="mmm"/>
    <numFmt numFmtId="167" formatCode="0.000"/>
    <numFmt numFmtId="168" formatCode="0.0"/>
    <numFmt numFmtId="169" formatCode="0.0%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.95"/>
      <color indexed="8"/>
      <name val="Arial"/>
      <family val="2"/>
    </font>
    <font>
      <i/>
      <sz val="10"/>
      <color indexed="8"/>
      <name val="Arial"/>
      <family val="2"/>
    </font>
    <font>
      <sz val="5.95"/>
      <color indexed="12"/>
      <name val="Arial"/>
      <family val="2"/>
    </font>
    <font>
      <b/>
      <i/>
      <sz val="10"/>
      <color indexed="8"/>
      <name val="Arial"/>
      <family val="2"/>
    </font>
    <font>
      <i/>
      <sz val="10"/>
      <color indexed="9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3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1" fillId="0" borderId="0" xfId="1"/>
    <xf numFmtId="0" fontId="2" fillId="0" borderId="0" xfId="2"/>
    <xf numFmtId="1" fontId="2" fillId="0" borderId="0" xfId="2" applyNumberFormat="1"/>
    <xf numFmtId="0" fontId="6" fillId="3" borderId="1" xfId="2" applyFont="1" applyFill="1" applyBorder="1" applyAlignment="1" applyProtection="1">
      <alignment wrapText="1" readingOrder="1"/>
      <protection locked="0"/>
    </xf>
    <xf numFmtId="0" fontId="3" fillId="3" borderId="0" xfId="2" applyFont="1" applyFill="1" applyAlignment="1" applyProtection="1">
      <alignment wrapText="1" readingOrder="1"/>
      <protection locked="0"/>
    </xf>
    <xf numFmtId="1" fontId="6" fillId="0" borderId="0" xfId="2" applyNumberFormat="1" applyFont="1" applyAlignment="1" applyProtection="1">
      <alignment horizontal="right" wrapText="1" readingOrder="1"/>
      <protection locked="0"/>
    </xf>
    <xf numFmtId="0" fontId="7" fillId="0" borderId="0" xfId="2" applyFont="1" applyAlignment="1" applyProtection="1">
      <alignment horizontal="left" vertical="top" wrapText="1" readingOrder="1"/>
      <protection locked="0"/>
    </xf>
    <xf numFmtId="0" fontId="6" fillId="0" borderId="0" xfId="2" applyFont="1" applyAlignment="1" applyProtection="1">
      <alignment horizontal="right" wrapText="1" readingOrder="1"/>
      <protection locked="0"/>
    </xf>
    <xf numFmtId="0" fontId="8" fillId="0" borderId="0" xfId="2" applyFont="1" applyAlignment="1" applyProtection="1">
      <alignment vertical="top" wrapText="1" readingOrder="1"/>
      <protection locked="0"/>
    </xf>
    <xf numFmtId="1" fontId="3" fillId="0" borderId="0" xfId="2" applyNumberFormat="1" applyFont="1" applyAlignment="1" applyProtection="1">
      <alignment horizontal="right" vertical="top" wrapText="1" readingOrder="1"/>
      <protection locked="0"/>
    </xf>
    <xf numFmtId="0" fontId="3" fillId="0" borderId="0" xfId="2" applyFont="1" applyAlignment="1" applyProtection="1">
      <alignment horizontal="right" vertical="top" wrapText="1" readingOrder="1"/>
      <protection locked="0"/>
    </xf>
    <xf numFmtId="164" fontId="3" fillId="0" borderId="0" xfId="2" applyNumberFormat="1" applyFont="1" applyAlignment="1" applyProtection="1">
      <alignment horizontal="left" vertical="top" wrapText="1" readingOrder="1"/>
      <protection locked="0"/>
    </xf>
    <xf numFmtId="165" fontId="3" fillId="0" borderId="0" xfId="2" applyNumberFormat="1" applyFont="1" applyAlignment="1" applyProtection="1">
      <alignment horizontal="right" vertical="top" wrapText="1" readingOrder="1"/>
      <protection locked="0"/>
    </xf>
    <xf numFmtId="164" fontId="4" fillId="0" borderId="0" xfId="2" applyNumberFormat="1" applyFont="1" applyAlignment="1" applyProtection="1">
      <alignment horizontal="left" vertical="top" wrapText="1" readingOrder="1"/>
      <protection locked="0"/>
    </xf>
    <xf numFmtId="17" fontId="2" fillId="0" borderId="0" xfId="2" applyNumberFormat="1"/>
    <xf numFmtId="14" fontId="2" fillId="0" borderId="0" xfId="2" applyNumberFormat="1"/>
    <xf numFmtId="0" fontId="2" fillId="0" borderId="0" xfId="2" applyNumberFormat="1"/>
    <xf numFmtId="0" fontId="10" fillId="0" borderId="0" xfId="1" applyFont="1"/>
    <xf numFmtId="167" fontId="1" fillId="0" borderId="0" xfId="1" applyNumberFormat="1"/>
    <xf numFmtId="0" fontId="1" fillId="4" borderId="0" xfId="1" applyFill="1"/>
    <xf numFmtId="0" fontId="1" fillId="0" borderId="0" xfId="1" applyFill="1"/>
    <xf numFmtId="168" fontId="1" fillId="0" borderId="0" xfId="1" applyNumberFormat="1"/>
    <xf numFmtId="0" fontId="1" fillId="5" borderId="0" xfId="1" applyFill="1"/>
    <xf numFmtId="0" fontId="2" fillId="2" borderId="0" xfId="2" applyFill="1"/>
    <xf numFmtId="0" fontId="2" fillId="0" borderId="0" xfId="2"/>
    <xf numFmtId="166" fontId="2" fillId="4" borderId="0" xfId="2" applyNumberFormat="1" applyFill="1"/>
    <xf numFmtId="0" fontId="0" fillId="0" borderId="0" xfId="0" applyAlignment="1">
      <alignment vertical="top" wrapText="1"/>
    </xf>
    <xf numFmtId="0" fontId="0" fillId="5" borderId="0" xfId="0" applyFill="1"/>
    <xf numFmtId="2" fontId="0" fillId="5" borderId="0" xfId="0" applyNumberFormat="1" applyFill="1"/>
    <xf numFmtId="0" fontId="13" fillId="0" borderId="0" xfId="3"/>
    <xf numFmtId="0" fontId="0" fillId="5" borderId="0" xfId="0" applyFill="1" applyBorder="1"/>
    <xf numFmtId="0" fontId="11" fillId="5" borderId="0" xfId="0" applyFont="1" applyFill="1"/>
    <xf numFmtId="0" fontId="0" fillId="5" borderId="0" xfId="0" applyNumberFormat="1" applyFill="1" applyBorder="1"/>
    <xf numFmtId="0" fontId="13" fillId="0" borderId="2" xfId="3" applyFont="1" applyBorder="1" applyAlignment="1">
      <alignment wrapText="1"/>
    </xf>
    <xf numFmtId="0" fontId="0" fillId="5" borderId="0" xfId="0" quotePrefix="1" applyNumberFormat="1" applyFill="1" applyBorder="1"/>
    <xf numFmtId="0" fontId="0" fillId="5" borderId="0" xfId="0" quotePrefix="1" applyNumberFormat="1" applyFill="1" applyBorder="1" applyAlignment="1"/>
    <xf numFmtId="168" fontId="0" fillId="5" borderId="0" xfId="0" applyNumberFormat="1" applyFill="1"/>
    <xf numFmtId="6" fontId="1" fillId="0" borderId="0" xfId="1" quotePrefix="1" applyNumberFormat="1" applyAlignment="1">
      <alignment horizontal="center"/>
    </xf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167" fontId="1" fillId="0" borderId="4" xfId="1" applyNumberFormat="1" applyBorder="1"/>
    <xf numFmtId="167" fontId="1" fillId="0" borderId="5" xfId="1" applyNumberFormat="1" applyBorder="1"/>
    <xf numFmtId="167" fontId="1" fillId="0" borderId="6" xfId="1" applyNumberFormat="1" applyBorder="1"/>
    <xf numFmtId="168" fontId="1" fillId="0" borderId="4" xfId="1" applyNumberFormat="1" applyBorder="1"/>
    <xf numFmtId="168" fontId="1" fillId="0" borderId="5" xfId="1" applyNumberFormat="1" applyBorder="1"/>
    <xf numFmtId="168" fontId="1" fillId="0" borderId="6" xfId="1" applyNumberFormat="1" applyBorder="1"/>
    <xf numFmtId="0" fontId="12" fillId="0" borderId="0" xfId="1" applyFont="1"/>
    <xf numFmtId="0" fontId="1" fillId="0" borderId="0" xfId="1" applyBorder="1"/>
    <xf numFmtId="167" fontId="1" fillId="0" borderId="0" xfId="1" applyNumberFormat="1" applyBorder="1"/>
    <xf numFmtId="168" fontId="1" fillId="0" borderId="0" xfId="1" applyNumberFormat="1" applyBorder="1"/>
    <xf numFmtId="0" fontId="15" fillId="0" borderId="0" xfId="0" applyFont="1"/>
    <xf numFmtId="0" fontId="2" fillId="0" borderId="0" xfId="2"/>
    <xf numFmtId="169" fontId="1" fillId="0" borderId="0" xfId="4" applyNumberFormat="1" applyFont="1"/>
    <xf numFmtId="1" fontId="1" fillId="0" borderId="0" xfId="1" applyNumberFormat="1"/>
    <xf numFmtId="1" fontId="1" fillId="0" borderId="4" xfId="1" applyNumberFormat="1" applyBorder="1"/>
    <xf numFmtId="1" fontId="1" fillId="0" borderId="5" xfId="1" applyNumberFormat="1" applyBorder="1"/>
    <xf numFmtId="1" fontId="1" fillId="0" borderId="6" xfId="1" applyNumberFormat="1" applyBorder="1"/>
    <xf numFmtId="1" fontId="1" fillId="0" borderId="0" xfId="1" applyNumberFormat="1" applyBorder="1"/>
    <xf numFmtId="0" fontId="5" fillId="0" borderId="0" xfId="2" applyFont="1" applyAlignment="1" applyProtection="1">
      <alignment vertical="top" wrapText="1" readingOrder="1"/>
      <protection locked="0"/>
    </xf>
    <xf numFmtId="0" fontId="2" fillId="0" borderId="0" xfId="2"/>
    <xf numFmtId="0" fontId="4" fillId="0" borderId="1" xfId="2" applyFont="1" applyBorder="1" applyAlignment="1" applyProtection="1">
      <alignment horizontal="center" wrapText="1" readingOrder="1"/>
      <protection locked="0"/>
    </xf>
    <xf numFmtId="0" fontId="2" fillId="0" borderId="1" xfId="2" applyBorder="1" applyAlignment="1" applyProtection="1">
      <alignment vertical="top" wrapText="1"/>
      <protection locked="0"/>
    </xf>
    <xf numFmtId="0" fontId="9" fillId="0" borderId="0" xfId="2" applyFont="1" applyAlignment="1" applyProtection="1">
      <alignment vertical="top" wrapText="1" readingOrder="1"/>
      <protection locked="0"/>
    </xf>
  </cellXfs>
  <cellStyles count="5">
    <cellStyle name="Hyperlink" xfId="3" builtinId="8"/>
    <cellStyle name="Normal" xfId="0" builtinId="0"/>
    <cellStyle name="Normal 2" xfId="1"/>
    <cellStyle name="Normal 2 2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'CPI Source'!$L$6:$L$99</c:f>
              <c:numCache>
                <c:formatCode>m/d/yyyy</c:formatCode>
                <c:ptCount val="94"/>
                <c:pt idx="0">
                  <c:v>7306</c:v>
                </c:pt>
                <c:pt idx="1">
                  <c:v>7672</c:v>
                </c:pt>
                <c:pt idx="2">
                  <c:v>8037</c:v>
                </c:pt>
                <c:pt idx="3">
                  <c:v>8402</c:v>
                </c:pt>
                <c:pt idx="4">
                  <c:v>8767</c:v>
                </c:pt>
                <c:pt idx="5">
                  <c:v>9133</c:v>
                </c:pt>
                <c:pt idx="6">
                  <c:v>9498</c:v>
                </c:pt>
                <c:pt idx="7">
                  <c:v>9863</c:v>
                </c:pt>
                <c:pt idx="8">
                  <c:v>10228</c:v>
                </c:pt>
                <c:pt idx="9">
                  <c:v>10594</c:v>
                </c:pt>
                <c:pt idx="10">
                  <c:v>10959</c:v>
                </c:pt>
                <c:pt idx="11">
                  <c:v>11324</c:v>
                </c:pt>
                <c:pt idx="12">
                  <c:v>11689</c:v>
                </c:pt>
                <c:pt idx="13">
                  <c:v>12055</c:v>
                </c:pt>
                <c:pt idx="14">
                  <c:v>12420</c:v>
                </c:pt>
                <c:pt idx="15">
                  <c:v>12785</c:v>
                </c:pt>
                <c:pt idx="16">
                  <c:v>13150</c:v>
                </c:pt>
                <c:pt idx="17">
                  <c:v>13516</c:v>
                </c:pt>
                <c:pt idx="18">
                  <c:v>13881</c:v>
                </c:pt>
                <c:pt idx="19">
                  <c:v>14246</c:v>
                </c:pt>
                <c:pt idx="20">
                  <c:v>14611</c:v>
                </c:pt>
                <c:pt idx="21">
                  <c:v>14977</c:v>
                </c:pt>
                <c:pt idx="22">
                  <c:v>15342</c:v>
                </c:pt>
                <c:pt idx="23">
                  <c:v>15707</c:v>
                </c:pt>
                <c:pt idx="24">
                  <c:v>16072</c:v>
                </c:pt>
                <c:pt idx="25">
                  <c:v>16438</c:v>
                </c:pt>
                <c:pt idx="26">
                  <c:v>16803</c:v>
                </c:pt>
                <c:pt idx="27">
                  <c:v>17168</c:v>
                </c:pt>
                <c:pt idx="28">
                  <c:v>17533</c:v>
                </c:pt>
                <c:pt idx="29">
                  <c:v>17899</c:v>
                </c:pt>
                <c:pt idx="30">
                  <c:v>18264</c:v>
                </c:pt>
                <c:pt idx="31">
                  <c:v>18629</c:v>
                </c:pt>
                <c:pt idx="32">
                  <c:v>18994</c:v>
                </c:pt>
                <c:pt idx="33">
                  <c:v>19360</c:v>
                </c:pt>
                <c:pt idx="34">
                  <c:v>19725</c:v>
                </c:pt>
                <c:pt idx="35">
                  <c:v>20090</c:v>
                </c:pt>
                <c:pt idx="36">
                  <c:v>20455</c:v>
                </c:pt>
                <c:pt idx="37">
                  <c:v>20821</c:v>
                </c:pt>
                <c:pt idx="38">
                  <c:v>21186</c:v>
                </c:pt>
                <c:pt idx="39">
                  <c:v>21551</c:v>
                </c:pt>
                <c:pt idx="40">
                  <c:v>21916</c:v>
                </c:pt>
                <c:pt idx="41">
                  <c:v>22282</c:v>
                </c:pt>
                <c:pt idx="42">
                  <c:v>22647</c:v>
                </c:pt>
                <c:pt idx="43">
                  <c:v>23012</c:v>
                </c:pt>
                <c:pt idx="44">
                  <c:v>23377</c:v>
                </c:pt>
                <c:pt idx="45">
                  <c:v>23743</c:v>
                </c:pt>
                <c:pt idx="46">
                  <c:v>24108</c:v>
                </c:pt>
                <c:pt idx="47">
                  <c:v>24473</c:v>
                </c:pt>
                <c:pt idx="48">
                  <c:v>24838</c:v>
                </c:pt>
                <c:pt idx="49">
                  <c:v>25204</c:v>
                </c:pt>
                <c:pt idx="50">
                  <c:v>25569</c:v>
                </c:pt>
                <c:pt idx="51">
                  <c:v>25934</c:v>
                </c:pt>
                <c:pt idx="52">
                  <c:v>26299</c:v>
                </c:pt>
                <c:pt idx="53">
                  <c:v>26665</c:v>
                </c:pt>
                <c:pt idx="54">
                  <c:v>27030</c:v>
                </c:pt>
                <c:pt idx="55">
                  <c:v>27395</c:v>
                </c:pt>
                <c:pt idx="56">
                  <c:v>27760</c:v>
                </c:pt>
                <c:pt idx="57">
                  <c:v>28126</c:v>
                </c:pt>
                <c:pt idx="58">
                  <c:v>28491</c:v>
                </c:pt>
                <c:pt idx="59">
                  <c:v>28856</c:v>
                </c:pt>
                <c:pt idx="60">
                  <c:v>29221</c:v>
                </c:pt>
                <c:pt idx="61">
                  <c:v>29587</c:v>
                </c:pt>
                <c:pt idx="62">
                  <c:v>29952</c:v>
                </c:pt>
                <c:pt idx="63">
                  <c:v>30317</c:v>
                </c:pt>
                <c:pt idx="64">
                  <c:v>30682</c:v>
                </c:pt>
                <c:pt idx="65">
                  <c:v>31048</c:v>
                </c:pt>
                <c:pt idx="66">
                  <c:v>31413</c:v>
                </c:pt>
                <c:pt idx="67">
                  <c:v>31778</c:v>
                </c:pt>
                <c:pt idx="68">
                  <c:v>32143</c:v>
                </c:pt>
                <c:pt idx="69">
                  <c:v>32509</c:v>
                </c:pt>
                <c:pt idx="70">
                  <c:v>32874</c:v>
                </c:pt>
                <c:pt idx="71">
                  <c:v>33239</c:v>
                </c:pt>
                <c:pt idx="72">
                  <c:v>33604</c:v>
                </c:pt>
                <c:pt idx="73">
                  <c:v>33970</c:v>
                </c:pt>
                <c:pt idx="74">
                  <c:v>34335</c:v>
                </c:pt>
                <c:pt idx="75">
                  <c:v>34700</c:v>
                </c:pt>
                <c:pt idx="76">
                  <c:v>35065</c:v>
                </c:pt>
                <c:pt idx="77">
                  <c:v>35431</c:v>
                </c:pt>
                <c:pt idx="78">
                  <c:v>35796</c:v>
                </c:pt>
                <c:pt idx="79">
                  <c:v>36161</c:v>
                </c:pt>
                <c:pt idx="80">
                  <c:v>36526</c:v>
                </c:pt>
                <c:pt idx="81">
                  <c:v>36892</c:v>
                </c:pt>
                <c:pt idx="82">
                  <c:v>37257</c:v>
                </c:pt>
                <c:pt idx="83">
                  <c:v>37622</c:v>
                </c:pt>
                <c:pt idx="84">
                  <c:v>37987</c:v>
                </c:pt>
                <c:pt idx="85">
                  <c:v>38353</c:v>
                </c:pt>
                <c:pt idx="86">
                  <c:v>38718</c:v>
                </c:pt>
                <c:pt idx="87">
                  <c:v>39083</c:v>
                </c:pt>
                <c:pt idx="88">
                  <c:v>39448</c:v>
                </c:pt>
                <c:pt idx="89">
                  <c:v>39814</c:v>
                </c:pt>
                <c:pt idx="90">
                  <c:v>40179</c:v>
                </c:pt>
                <c:pt idx="91">
                  <c:v>40544</c:v>
                </c:pt>
                <c:pt idx="92">
                  <c:v>40909</c:v>
                </c:pt>
                <c:pt idx="93">
                  <c:v>41275</c:v>
                </c:pt>
              </c:numCache>
            </c:numRef>
          </c:cat>
          <c:val>
            <c:numRef>
              <c:f>'CPI Source'!$M$6:$M$99</c:f>
              <c:numCache>
                <c:formatCode>General</c:formatCode>
                <c:ptCount val="94"/>
                <c:pt idx="0">
                  <c:v>27</c:v>
                </c:pt>
                <c:pt idx="1">
                  <c:v>29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26</c:v>
                </c:pt>
                <c:pt idx="7">
                  <c:v>26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20</c:v>
                </c:pt>
                <c:pt idx="15">
                  <c:v>21</c:v>
                </c:pt>
                <c:pt idx="16">
                  <c:v>21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27</c:v>
                </c:pt>
                <c:pt idx="23">
                  <c:v>29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33</c:v>
                </c:pt>
                <c:pt idx="29">
                  <c:v>34</c:v>
                </c:pt>
                <c:pt idx="30">
                  <c:v>34</c:v>
                </c:pt>
                <c:pt idx="31">
                  <c:v>38</c:v>
                </c:pt>
                <c:pt idx="32">
                  <c:v>42</c:v>
                </c:pt>
                <c:pt idx="33">
                  <c:v>44</c:v>
                </c:pt>
                <c:pt idx="34">
                  <c:v>46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55</c:v>
                </c:pt>
                <c:pt idx="40">
                  <c:v>55</c:v>
                </c:pt>
                <c:pt idx="41">
                  <c:v>56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63</c:v>
                </c:pt>
                <c:pt idx="46">
                  <c:v>64</c:v>
                </c:pt>
                <c:pt idx="47">
                  <c:v>67</c:v>
                </c:pt>
                <c:pt idx="48">
                  <c:v>71</c:v>
                </c:pt>
                <c:pt idx="49">
                  <c:v>74</c:v>
                </c:pt>
                <c:pt idx="50">
                  <c:v>78</c:v>
                </c:pt>
                <c:pt idx="51">
                  <c:v>86</c:v>
                </c:pt>
                <c:pt idx="52">
                  <c:v>93</c:v>
                </c:pt>
                <c:pt idx="53">
                  <c:v>99</c:v>
                </c:pt>
                <c:pt idx="54">
                  <c:v>109</c:v>
                </c:pt>
                <c:pt idx="55">
                  <c:v>123</c:v>
                </c:pt>
                <c:pt idx="56">
                  <c:v>145</c:v>
                </c:pt>
                <c:pt idx="57">
                  <c:v>164</c:v>
                </c:pt>
                <c:pt idx="58">
                  <c:v>188</c:v>
                </c:pt>
                <c:pt idx="59">
                  <c:v>208</c:v>
                </c:pt>
                <c:pt idx="60">
                  <c:v>246</c:v>
                </c:pt>
                <c:pt idx="61">
                  <c:v>284</c:v>
                </c:pt>
                <c:pt idx="62">
                  <c:v>328</c:v>
                </c:pt>
                <c:pt idx="63">
                  <c:v>370</c:v>
                </c:pt>
                <c:pt idx="64">
                  <c:v>383</c:v>
                </c:pt>
                <c:pt idx="65">
                  <c:v>434</c:v>
                </c:pt>
                <c:pt idx="66">
                  <c:v>490</c:v>
                </c:pt>
                <c:pt idx="67">
                  <c:v>580</c:v>
                </c:pt>
                <c:pt idx="68">
                  <c:v>632</c:v>
                </c:pt>
                <c:pt idx="69">
                  <c:v>658</c:v>
                </c:pt>
                <c:pt idx="70">
                  <c:v>704</c:v>
                </c:pt>
                <c:pt idx="71">
                  <c:v>736</c:v>
                </c:pt>
                <c:pt idx="72">
                  <c:v>741</c:v>
                </c:pt>
                <c:pt idx="73">
                  <c:v>749</c:v>
                </c:pt>
                <c:pt idx="74">
                  <c:v>758</c:v>
                </c:pt>
                <c:pt idx="75">
                  <c:v>789</c:v>
                </c:pt>
                <c:pt idx="76">
                  <c:v>806</c:v>
                </c:pt>
                <c:pt idx="77">
                  <c:v>821</c:v>
                </c:pt>
                <c:pt idx="78">
                  <c:v>831</c:v>
                </c:pt>
                <c:pt idx="79">
                  <c:v>830</c:v>
                </c:pt>
                <c:pt idx="80">
                  <c:v>843</c:v>
                </c:pt>
                <c:pt idx="81">
                  <c:v>869</c:v>
                </c:pt>
                <c:pt idx="82">
                  <c:v>891</c:v>
                </c:pt>
                <c:pt idx="83">
                  <c:v>913</c:v>
                </c:pt>
                <c:pt idx="84">
                  <c:v>928</c:v>
                </c:pt>
                <c:pt idx="85">
                  <c:v>953</c:v>
                </c:pt>
                <c:pt idx="86">
                  <c:v>985</c:v>
                </c:pt>
                <c:pt idx="87">
                  <c:v>1010</c:v>
                </c:pt>
                <c:pt idx="88">
                  <c:v>1044</c:v>
                </c:pt>
                <c:pt idx="89">
                  <c:v>1075</c:v>
                </c:pt>
                <c:pt idx="90">
                  <c:v>1097</c:v>
                </c:pt>
                <c:pt idx="91">
                  <c:v>1146</c:v>
                </c:pt>
                <c:pt idx="92">
                  <c:v>1164</c:v>
                </c:pt>
                <c:pt idx="93">
                  <c:v>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85632"/>
        <c:axId val="250887552"/>
      </c:lineChart>
      <c:dateAx>
        <c:axId val="2508856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50887552"/>
        <c:crosses val="autoZero"/>
        <c:auto val="1"/>
        <c:lblOffset val="100"/>
        <c:baseTimeUnit val="years"/>
      </c:dateAx>
      <c:valAx>
        <c:axId val="25088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88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7</xdr:row>
      <xdr:rowOff>133350</xdr:rowOff>
    </xdr:from>
    <xdr:to>
      <xdr:col>24</xdr:col>
      <xdr:colOff>219075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uff.co.nz/dominion-post/business/7297575/Geothermal-pioneer-took-on-some-big-opponents" TargetMode="External"/><Relationship Id="rId13" Type="http://schemas.openxmlformats.org/officeDocument/2006/relationships/hyperlink" Target="http://www.contrafedpublishing.co.nz/Contractor/2008/June+2008/Where+the+wind+blows.html" TargetMode="External"/><Relationship Id="rId18" Type="http://schemas.openxmlformats.org/officeDocument/2006/relationships/hyperlink" Target="http://www.trustpower.co.nz/index.php?action=view&amp;id=242&amp;module=newsmodule&amp;src=@random48f670a85b5d9" TargetMode="External"/><Relationship Id="rId3" Type="http://schemas.openxmlformats.org/officeDocument/2006/relationships/hyperlink" Target="http://www.delahyde.com/tauranga/pagest/mangapapa.html" TargetMode="External"/><Relationship Id="rId21" Type="http://schemas.openxmlformats.org/officeDocument/2006/relationships/hyperlink" Target="http://www.pwcl.co.nz/cogeneration.php" TargetMode="External"/><Relationship Id="rId7" Type="http://schemas.openxmlformats.org/officeDocument/2006/relationships/hyperlink" Target="http://www.delahyde.com/tauranga/pagest/ruahihi.html" TargetMode="External"/><Relationship Id="rId12" Type="http://schemas.openxmlformats.org/officeDocument/2006/relationships/hyperlink" Target="http://www.coffey.com/our-news/latest-news/te-uku-windfarm-provides-community-benefits" TargetMode="External"/><Relationship Id="rId17" Type="http://schemas.openxmlformats.org/officeDocument/2006/relationships/hyperlink" Target="http://www.energynews.co.nz/" TargetMode="External"/><Relationship Id="rId2" Type="http://schemas.openxmlformats.org/officeDocument/2006/relationships/hyperlink" Target="http://www.delahyde.com/tauranga/pagest/mandeno.html" TargetMode="External"/><Relationship Id="rId16" Type="http://schemas.openxmlformats.org/officeDocument/2006/relationships/hyperlink" Target="http://www.energynews.co.nz/" TargetMode="External"/><Relationship Id="rId20" Type="http://schemas.openxmlformats.org/officeDocument/2006/relationships/hyperlink" Target="http://www.mightyriver.co.nz/Media-Centre/Latest-News/2010-Archive/New-Power-Station-Adds-To-Grid-Capacity.aspx" TargetMode="External"/><Relationship Id="rId1" Type="http://schemas.openxmlformats.org/officeDocument/2006/relationships/hyperlink" Target="http://www.odt.co.nz/the-regions/north-otago/29502/benmore-gets-more-with-first-full-rebuild" TargetMode="External"/><Relationship Id="rId6" Type="http://schemas.openxmlformats.org/officeDocument/2006/relationships/hyperlink" Target="http://www.risiinfo.com/db_area/archive/ppi_mag/1999/9907/5newzeal.htm" TargetMode="External"/><Relationship Id="rId11" Type="http://schemas.openxmlformats.org/officeDocument/2006/relationships/hyperlink" Target="http://www.windflow.co.nz/news/clippings/2004-2005/southern-firm-gets-green-light-for-tararua-wind-farm" TargetMode="External"/><Relationship Id="rId5" Type="http://schemas.openxmlformats.org/officeDocument/2006/relationships/hyperlink" Target="http://www.mightyriver.co.nz/Media-Centre/Latest-News/2012-Archive/Mighty-River-Power-Development-Projects-Update.aspx" TargetMode="External"/><Relationship Id="rId15" Type="http://schemas.openxmlformats.org/officeDocument/2006/relationships/hyperlink" Target="http://www.oag.govt.nz/2001/opuha-dam/docs/opuha.pdf/view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nzherald.co.nz/business/news/article.cfm?c_id=3&amp;objectid=10647323" TargetMode="External"/><Relationship Id="rId19" Type="http://schemas.openxmlformats.org/officeDocument/2006/relationships/hyperlink" Target="http://tvnz.co.nz/content/1171908/4202557.xhtml" TargetMode="External"/><Relationship Id="rId4" Type="http://schemas.openxmlformats.org/officeDocument/2006/relationships/hyperlink" Target="http://www.power-technology.com/projects/mokai/" TargetMode="External"/><Relationship Id="rId9" Type="http://schemas.openxmlformats.org/officeDocument/2006/relationships/hyperlink" Target="http://www.royalsociety.org.nz/1996/01/18/new-power-station-a-winner-says-energy-minister/" TargetMode="External"/><Relationship Id="rId14" Type="http://schemas.openxmlformats.org/officeDocument/2006/relationships/hyperlink" Target="http://www.beehive.govt.nz/release/whirinaki-power-plant-adds-electricity-supply-security" TargetMode="External"/><Relationship Id="rId22" Type="http://schemas.openxmlformats.org/officeDocument/2006/relationships/hyperlink" Target="http://www.encyclopedia.com/doc/1G2-2690300084.html.%20Assuming%200.6%20=%20%20US/N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abSelected="1" zoomScaleNormal="100" workbookViewId="0"/>
  </sheetViews>
  <sheetFormatPr defaultRowHeight="15" x14ac:dyDescent="0.25"/>
  <cols>
    <col min="1" max="1" width="32.5703125" customWidth="1"/>
    <col min="5" max="6" width="13.7109375" customWidth="1"/>
    <col min="7" max="7" width="22.140625" customWidth="1"/>
    <col min="8" max="8" width="18" customWidth="1"/>
    <col min="9" max="9" width="99" customWidth="1"/>
  </cols>
  <sheetData>
    <row r="1" spans="1:9" x14ac:dyDescent="0.25">
      <c r="A1" s="54" t="s">
        <v>47</v>
      </c>
    </row>
    <row r="3" spans="1:9" x14ac:dyDescent="0.25">
      <c r="A3" t="s">
        <v>42</v>
      </c>
      <c r="B3" t="s">
        <v>44</v>
      </c>
      <c r="C3" t="s">
        <v>43</v>
      </c>
      <c r="D3" t="s">
        <v>45</v>
      </c>
      <c r="E3" t="s">
        <v>50</v>
      </c>
      <c r="F3" t="s">
        <v>132</v>
      </c>
      <c r="G3" t="s">
        <v>124</v>
      </c>
      <c r="H3" t="s">
        <v>125</v>
      </c>
      <c r="I3" t="s">
        <v>46</v>
      </c>
    </row>
    <row r="4" spans="1:9" x14ac:dyDescent="0.25">
      <c r="A4" s="29" t="s">
        <v>0</v>
      </c>
      <c r="B4" s="29">
        <v>1983</v>
      </c>
      <c r="C4" s="38">
        <v>285.39444200000003</v>
      </c>
      <c r="D4" s="29">
        <v>120</v>
      </c>
      <c r="E4" s="29">
        <v>580</v>
      </c>
      <c r="F4" s="30">
        <f t="shared" ref="F4:F35" si="0">1-IF(D4=0,0,E4/(8.76*D4))</f>
        <v>0.4482496194824962</v>
      </c>
      <c r="G4" s="29">
        <v>0.86</v>
      </c>
      <c r="H4" s="29">
        <v>6.38</v>
      </c>
      <c r="I4" t="s">
        <v>161</v>
      </c>
    </row>
    <row r="5" spans="1:9" x14ac:dyDescent="0.25">
      <c r="A5" s="29" t="s">
        <v>52</v>
      </c>
      <c r="B5" s="29">
        <v>1973</v>
      </c>
      <c r="C5" s="38">
        <v>224.10984999999999</v>
      </c>
      <c r="D5" s="29">
        <v>200</v>
      </c>
      <c r="E5" s="29">
        <f>760-E6</f>
        <v>660</v>
      </c>
      <c r="F5" s="30">
        <f t="shared" si="0"/>
        <v>0.62328767123287676</v>
      </c>
      <c r="G5" s="29">
        <v>0.86</v>
      </c>
      <c r="H5" s="29">
        <v>6.38</v>
      </c>
      <c r="I5" t="s">
        <v>161</v>
      </c>
    </row>
    <row r="6" spans="1:9" x14ac:dyDescent="0.25">
      <c r="A6" s="29" t="s">
        <v>301</v>
      </c>
      <c r="B6" s="29">
        <v>1996</v>
      </c>
      <c r="C6" s="38">
        <v>25</v>
      </c>
      <c r="D6" s="29">
        <v>40</v>
      </c>
      <c r="E6" s="29">
        <v>100</v>
      </c>
      <c r="F6" s="30">
        <f t="shared" si="0"/>
        <v>0.71461187214611877</v>
      </c>
      <c r="G6" s="29">
        <v>0.86</v>
      </c>
      <c r="H6" s="29">
        <v>6.38</v>
      </c>
      <c r="I6" t="s">
        <v>226</v>
      </c>
    </row>
    <row r="7" spans="1:9" x14ac:dyDescent="0.25">
      <c r="A7" s="29" t="s">
        <v>1</v>
      </c>
      <c r="B7" s="29">
        <v>1941</v>
      </c>
      <c r="C7" s="38">
        <v>0.419292</v>
      </c>
      <c r="D7" s="29">
        <v>0.1</v>
      </c>
      <c r="E7" s="29">
        <v>0.1</v>
      </c>
      <c r="F7" s="30">
        <f t="shared" si="0"/>
        <v>0.88584474885844744</v>
      </c>
      <c r="G7" s="29">
        <v>0.86</v>
      </c>
      <c r="H7" s="29">
        <v>6.38</v>
      </c>
      <c r="I7" t="s">
        <v>207</v>
      </c>
    </row>
    <row r="8" spans="1:9" x14ac:dyDescent="0.25">
      <c r="A8" s="29" t="s">
        <v>2</v>
      </c>
      <c r="B8" s="29">
        <v>1964</v>
      </c>
      <c r="C8" s="38">
        <v>16.213356000000001</v>
      </c>
      <c r="D8" s="29">
        <v>90</v>
      </c>
      <c r="E8" s="29">
        <v>330</v>
      </c>
      <c r="F8" s="30">
        <f t="shared" si="0"/>
        <v>0.58143074581430743</v>
      </c>
      <c r="G8" s="29">
        <v>0.86</v>
      </c>
      <c r="H8" s="29">
        <v>6.38</v>
      </c>
      <c r="I8" t="s">
        <v>161</v>
      </c>
    </row>
    <row r="9" spans="1:9" x14ac:dyDescent="0.25">
      <c r="A9" s="29" t="s">
        <v>3</v>
      </c>
      <c r="B9" s="29">
        <v>1961</v>
      </c>
      <c r="C9" s="38">
        <v>21.673347</v>
      </c>
      <c r="D9" s="29">
        <v>112</v>
      </c>
      <c r="E9" s="29">
        <v>400</v>
      </c>
      <c r="F9" s="30">
        <f t="shared" si="0"/>
        <v>0.59230267449445528</v>
      </c>
      <c r="G9" s="29">
        <v>0.86</v>
      </c>
      <c r="H9" s="29">
        <v>6.38</v>
      </c>
      <c r="I9" t="s">
        <v>160</v>
      </c>
    </row>
    <row r="10" spans="1:9" x14ac:dyDescent="0.25">
      <c r="A10" s="29" t="s">
        <v>4</v>
      </c>
      <c r="B10" s="29">
        <v>1959</v>
      </c>
      <c r="C10" s="38">
        <f>19.436332</f>
        <v>19.436332</v>
      </c>
      <c r="D10" s="29">
        <v>63</v>
      </c>
      <c r="E10" s="29">
        <f>280-E11</f>
        <v>210</v>
      </c>
      <c r="F10" s="30">
        <f t="shared" si="0"/>
        <v>0.61948249619482498</v>
      </c>
      <c r="G10" s="29">
        <v>0.86</v>
      </c>
      <c r="H10" s="29">
        <v>6.38</v>
      </c>
      <c r="I10" t="s">
        <v>139</v>
      </c>
    </row>
    <row r="11" spans="1:9" x14ac:dyDescent="0.25">
      <c r="A11" s="29" t="s">
        <v>236</v>
      </c>
      <c r="B11" s="29">
        <v>1962</v>
      </c>
      <c r="C11" s="38">
        <v>1.054152</v>
      </c>
      <c r="D11" s="29">
        <v>21</v>
      </c>
      <c r="E11" s="29">
        <v>70</v>
      </c>
      <c r="F11" s="30">
        <f t="shared" si="0"/>
        <v>0.61948249619482498</v>
      </c>
      <c r="G11" s="29">
        <v>0.86</v>
      </c>
      <c r="H11" s="29">
        <v>6.38</v>
      </c>
      <c r="I11" t="s">
        <v>136</v>
      </c>
    </row>
    <row r="12" spans="1:9" x14ac:dyDescent="0.25">
      <c r="A12" s="29" t="s">
        <v>5</v>
      </c>
      <c r="B12" s="29">
        <v>1956</v>
      </c>
      <c r="C12" s="38">
        <v>24.116182999999999</v>
      </c>
      <c r="D12" s="29">
        <v>100</v>
      </c>
      <c r="E12" s="29">
        <v>490</v>
      </c>
      <c r="F12" s="30">
        <f t="shared" si="0"/>
        <v>0.44063926940639264</v>
      </c>
      <c r="G12" s="29">
        <v>0.86</v>
      </c>
      <c r="H12" s="29">
        <v>6.38</v>
      </c>
      <c r="I12" t="s">
        <v>161</v>
      </c>
    </row>
    <row r="13" spans="1:9" x14ac:dyDescent="0.25">
      <c r="A13" s="29" t="s">
        <v>6</v>
      </c>
      <c r="B13" s="29">
        <v>1953</v>
      </c>
      <c r="C13" s="38">
        <v>19.186413000000002</v>
      </c>
      <c r="D13" s="29">
        <v>180</v>
      </c>
      <c r="E13" s="29">
        <v>880</v>
      </c>
      <c r="F13" s="30">
        <f t="shared" si="0"/>
        <v>0.44190766108574331</v>
      </c>
      <c r="G13" s="29">
        <v>0.86</v>
      </c>
      <c r="H13" s="29">
        <v>6.38</v>
      </c>
      <c r="I13" t="s">
        <v>150</v>
      </c>
    </row>
    <row r="14" spans="1:9" x14ac:dyDescent="0.25">
      <c r="A14" s="29" t="s">
        <v>237</v>
      </c>
      <c r="B14" s="29">
        <v>1971</v>
      </c>
      <c r="C14" s="38">
        <f>39.804223-C13</f>
        <v>20.617809999999999</v>
      </c>
      <c r="D14" s="29">
        <v>180</v>
      </c>
      <c r="E14" s="29">
        <v>1</v>
      </c>
      <c r="F14" s="30">
        <f t="shared" si="0"/>
        <v>0.99936580416032472</v>
      </c>
      <c r="G14" s="29">
        <v>0.86</v>
      </c>
      <c r="H14" s="29">
        <v>6.38</v>
      </c>
      <c r="I14" t="s">
        <v>48</v>
      </c>
    </row>
    <row r="15" spans="1:9" x14ac:dyDescent="0.25">
      <c r="A15" s="29" t="s">
        <v>7</v>
      </c>
      <c r="B15" s="29">
        <v>1961</v>
      </c>
      <c r="C15" s="38">
        <v>15.792759</v>
      </c>
      <c r="D15" s="29">
        <v>51</v>
      </c>
      <c r="E15" s="29">
        <v>240</v>
      </c>
      <c r="F15" s="30">
        <f t="shared" si="0"/>
        <v>0.46279881815739998</v>
      </c>
      <c r="G15" s="29">
        <v>0.86</v>
      </c>
      <c r="H15" s="29">
        <v>6.38</v>
      </c>
      <c r="I15" t="s">
        <v>161</v>
      </c>
    </row>
    <row r="16" spans="1:9" ht="14.25" customHeight="1" x14ac:dyDescent="0.25">
      <c r="A16" s="29" t="s">
        <v>8</v>
      </c>
      <c r="B16" s="29">
        <v>1932</v>
      </c>
      <c r="C16" s="38">
        <f>5.058216 -C17</f>
        <v>3.9007819999999995</v>
      </c>
      <c r="D16" s="29">
        <v>60</v>
      </c>
      <c r="E16" s="29">
        <v>300</v>
      </c>
      <c r="F16" s="30">
        <f t="shared" si="0"/>
        <v>0.42922374429223742</v>
      </c>
      <c r="G16" s="29">
        <v>0.86</v>
      </c>
      <c r="H16" s="29">
        <v>6.38</v>
      </c>
      <c r="I16" s="28" t="s">
        <v>302</v>
      </c>
    </row>
    <row r="17" spans="1:9" x14ac:dyDescent="0.25">
      <c r="A17" s="29" t="s">
        <v>238</v>
      </c>
      <c r="B17" s="29">
        <v>1938</v>
      </c>
      <c r="C17" s="38">
        <f>C18</f>
        <v>1.1574340000000003</v>
      </c>
      <c r="D17" s="29">
        <v>51</v>
      </c>
      <c r="E17" s="29">
        <v>250</v>
      </c>
      <c r="F17" s="30">
        <f t="shared" si="0"/>
        <v>0.4404154355806249</v>
      </c>
      <c r="G17" s="29">
        <v>0.86</v>
      </c>
      <c r="H17" s="29">
        <v>6.38</v>
      </c>
      <c r="I17" t="s">
        <v>134</v>
      </c>
    </row>
    <row r="18" spans="1:9" x14ac:dyDescent="0.25">
      <c r="A18" s="29" t="s">
        <v>239</v>
      </c>
      <c r="B18" s="29">
        <v>1946</v>
      </c>
      <c r="C18" s="38">
        <f>6.21565-5.058216</f>
        <v>1.1574340000000003</v>
      </c>
      <c r="D18" s="29">
        <v>51</v>
      </c>
      <c r="E18" s="29">
        <v>250</v>
      </c>
      <c r="F18" s="30">
        <f t="shared" si="0"/>
        <v>0.4404154355806249</v>
      </c>
      <c r="G18" s="29">
        <v>0.86</v>
      </c>
      <c r="H18" s="29">
        <v>6.38</v>
      </c>
      <c r="I18" t="s">
        <v>49</v>
      </c>
    </row>
    <row r="19" spans="1:9" x14ac:dyDescent="0.25">
      <c r="A19" s="29" t="s">
        <v>240</v>
      </c>
      <c r="B19" s="29">
        <v>1990</v>
      </c>
      <c r="C19" s="38">
        <v>50</v>
      </c>
      <c r="D19" s="29">
        <v>31</v>
      </c>
      <c r="E19" s="29">
        <v>5</v>
      </c>
      <c r="F19" s="30">
        <f t="shared" si="0"/>
        <v>0.98158786271910448</v>
      </c>
      <c r="G19" s="29">
        <v>0.86</v>
      </c>
      <c r="H19" s="29">
        <v>6.38</v>
      </c>
      <c r="I19" t="s">
        <v>137</v>
      </c>
    </row>
    <row r="20" spans="1:9" x14ac:dyDescent="0.25">
      <c r="A20" s="29" t="s">
        <v>241</v>
      </c>
      <c r="B20" s="29">
        <v>2007</v>
      </c>
      <c r="C20" s="38">
        <v>20</v>
      </c>
      <c r="D20" s="29">
        <v>1</v>
      </c>
      <c r="E20" s="29">
        <v>0.1</v>
      </c>
      <c r="F20" s="30">
        <f t="shared" si="0"/>
        <v>0.98858447488584478</v>
      </c>
      <c r="G20" s="29">
        <v>0.86</v>
      </c>
      <c r="H20" s="29">
        <v>6.38</v>
      </c>
      <c r="I20" t="s">
        <v>138</v>
      </c>
    </row>
    <row r="21" spans="1:9" x14ac:dyDescent="0.25">
      <c r="A21" s="29" t="s">
        <v>9</v>
      </c>
      <c r="B21" s="29">
        <v>1948</v>
      </c>
      <c r="C21" s="38">
        <v>8.7482780000000009</v>
      </c>
      <c r="D21" s="29">
        <v>90</v>
      </c>
      <c r="E21" s="29">
        <v>525</v>
      </c>
      <c r="F21" s="30">
        <f t="shared" si="0"/>
        <v>0.33409436834094364</v>
      </c>
      <c r="G21" s="29">
        <v>0.86</v>
      </c>
      <c r="H21" s="29">
        <v>6.38</v>
      </c>
      <c r="I21" t="s">
        <v>228</v>
      </c>
    </row>
    <row r="22" spans="1:9" x14ac:dyDescent="0.25">
      <c r="A22" s="29" t="s">
        <v>10</v>
      </c>
      <c r="B22" s="29">
        <v>1967</v>
      </c>
      <c r="C22" s="38">
        <v>30.157295999999999</v>
      </c>
      <c r="D22" s="29">
        <v>72</v>
      </c>
      <c r="E22" s="29">
        <v>290</v>
      </c>
      <c r="F22" s="30">
        <f t="shared" si="0"/>
        <v>0.54020801623541348</v>
      </c>
      <c r="G22" s="29">
        <v>0.86</v>
      </c>
      <c r="H22" s="29">
        <v>6.38</v>
      </c>
      <c r="I22" t="s">
        <v>161</v>
      </c>
    </row>
    <row r="23" spans="1:9" x14ac:dyDescent="0.25">
      <c r="A23" s="32" t="s">
        <v>242</v>
      </c>
      <c r="B23" s="29">
        <v>1998</v>
      </c>
      <c r="C23" s="38">
        <v>60</v>
      </c>
      <c r="D23" s="29">
        <v>0.1</v>
      </c>
      <c r="E23" s="29">
        <v>0.1</v>
      </c>
      <c r="F23" s="30">
        <f t="shared" si="0"/>
        <v>0.88584474885844744</v>
      </c>
      <c r="G23" s="29">
        <v>0.86</v>
      </c>
      <c r="H23" s="29">
        <v>6.38</v>
      </c>
      <c r="I23" t="s">
        <v>151</v>
      </c>
    </row>
    <row r="24" spans="1:9" x14ac:dyDescent="0.25">
      <c r="A24" s="29" t="s">
        <v>11</v>
      </c>
      <c r="B24" s="29">
        <v>1939</v>
      </c>
      <c r="C24" s="38">
        <v>0.92905499999999996</v>
      </c>
      <c r="D24" s="29">
        <v>0.1</v>
      </c>
      <c r="E24" s="29">
        <v>0.1</v>
      </c>
      <c r="F24" s="30">
        <f t="shared" si="0"/>
        <v>0.88584474885844744</v>
      </c>
      <c r="G24" s="29">
        <v>0.86</v>
      </c>
      <c r="H24" s="29">
        <v>6.38</v>
      </c>
      <c r="I24" t="s">
        <v>210</v>
      </c>
    </row>
    <row r="25" spans="1:9" x14ac:dyDescent="0.25">
      <c r="A25" s="29" t="s">
        <v>12</v>
      </c>
      <c r="B25" s="29">
        <v>1948</v>
      </c>
      <c r="C25" s="38">
        <v>3.419343</v>
      </c>
      <c r="D25" s="29">
        <v>36</v>
      </c>
      <c r="E25" s="29">
        <v>90</v>
      </c>
      <c r="F25" s="30">
        <f t="shared" si="0"/>
        <v>0.71461187214611877</v>
      </c>
      <c r="G25" s="29">
        <v>0.86</v>
      </c>
      <c r="H25" s="29">
        <v>6.38</v>
      </c>
      <c r="I25" t="s">
        <v>229</v>
      </c>
    </row>
    <row r="26" spans="1:9" x14ac:dyDescent="0.25">
      <c r="A26" s="29" t="s">
        <v>51</v>
      </c>
      <c r="B26" s="29">
        <v>1929</v>
      </c>
      <c r="C26" s="38">
        <f>0.704747*2</f>
        <v>1.409494</v>
      </c>
      <c r="D26" s="29">
        <v>32</v>
      </c>
      <c r="E26" s="29">
        <v>140</v>
      </c>
      <c r="F26" s="30">
        <f t="shared" si="0"/>
        <v>0.50057077625570767</v>
      </c>
      <c r="G26" s="29">
        <v>0.86</v>
      </c>
      <c r="H26" s="29">
        <v>6.38</v>
      </c>
      <c r="I26" t="s">
        <v>218</v>
      </c>
    </row>
    <row r="27" spans="1:9" x14ac:dyDescent="0.25">
      <c r="A27" s="29" t="s">
        <v>243</v>
      </c>
      <c r="B27" s="29">
        <v>1939</v>
      </c>
      <c r="C27" s="38">
        <f>3.200915-C26</f>
        <v>1.7914210000000002</v>
      </c>
      <c r="D27" s="29">
        <v>28</v>
      </c>
      <c r="E27" s="29">
        <v>80</v>
      </c>
      <c r="F27" s="30">
        <f t="shared" si="0"/>
        <v>0.67384213959556427</v>
      </c>
      <c r="G27" s="29">
        <v>0.86</v>
      </c>
      <c r="H27" s="29">
        <v>6.38</v>
      </c>
      <c r="I27" t="s">
        <v>217</v>
      </c>
    </row>
    <row r="28" spans="1:9" x14ac:dyDescent="0.25">
      <c r="A28" s="29" t="s">
        <v>13</v>
      </c>
      <c r="B28" s="29">
        <v>1943</v>
      </c>
      <c r="C28" s="38">
        <v>2.1549489999999998</v>
      </c>
      <c r="D28" s="29">
        <v>42</v>
      </c>
      <c r="E28" s="29">
        <v>130</v>
      </c>
      <c r="F28" s="30">
        <f t="shared" si="0"/>
        <v>0.64666231789519468</v>
      </c>
      <c r="G28" s="29">
        <v>0.86</v>
      </c>
      <c r="H28" s="29">
        <v>6.38</v>
      </c>
      <c r="I28" t="s">
        <v>161</v>
      </c>
    </row>
    <row r="29" spans="1:9" x14ac:dyDescent="0.25">
      <c r="A29" s="29" t="s">
        <v>14</v>
      </c>
      <c r="B29" s="29">
        <v>1924</v>
      </c>
      <c r="C29" s="38">
        <v>3.5696119999999998</v>
      </c>
      <c r="D29" s="29">
        <v>19.2</v>
      </c>
      <c r="E29" s="29">
        <v>100</v>
      </c>
      <c r="F29" s="30">
        <f t="shared" si="0"/>
        <v>0.40544140030441389</v>
      </c>
      <c r="G29" s="29">
        <v>0.86</v>
      </c>
      <c r="H29" s="29">
        <v>6.38</v>
      </c>
      <c r="I29" t="s">
        <v>149</v>
      </c>
    </row>
    <row r="30" spans="1:9" x14ac:dyDescent="0.25">
      <c r="A30" s="29" t="s">
        <v>244</v>
      </c>
      <c r="B30" s="29">
        <v>1994</v>
      </c>
      <c r="C30" s="38">
        <v>17</v>
      </c>
      <c r="D30" s="29">
        <v>14.2</v>
      </c>
      <c r="E30" s="29">
        <v>26</v>
      </c>
      <c r="F30" s="30">
        <f t="shared" si="0"/>
        <v>0.79098334298025597</v>
      </c>
      <c r="G30" s="29">
        <v>0.86</v>
      </c>
      <c r="H30" s="29">
        <v>6.38</v>
      </c>
      <c r="I30" t="s">
        <v>148</v>
      </c>
    </row>
    <row r="31" spans="1:9" x14ac:dyDescent="0.25">
      <c r="A31" s="32" t="s">
        <v>245</v>
      </c>
      <c r="B31" s="29">
        <v>2004</v>
      </c>
      <c r="C31" s="38">
        <v>15</v>
      </c>
      <c r="D31" s="29">
        <v>4</v>
      </c>
      <c r="E31" s="29">
        <v>10</v>
      </c>
      <c r="F31" s="30">
        <f t="shared" si="0"/>
        <v>0.71461187214611877</v>
      </c>
      <c r="G31" s="29">
        <v>0.86</v>
      </c>
      <c r="H31" s="29">
        <v>6.38</v>
      </c>
      <c r="I31" t="s">
        <v>222</v>
      </c>
    </row>
    <row r="32" spans="1:9" x14ac:dyDescent="0.25">
      <c r="A32" s="29" t="s">
        <v>15</v>
      </c>
      <c r="B32" s="29">
        <v>1951</v>
      </c>
      <c r="C32" s="38">
        <v>7.3650149999999996</v>
      </c>
      <c r="D32" s="29">
        <v>25</v>
      </c>
      <c r="E32" s="29">
        <v>160</v>
      </c>
      <c r="F32" s="30">
        <f t="shared" si="0"/>
        <v>0.26940639269406397</v>
      </c>
      <c r="G32" s="29">
        <v>0.86</v>
      </c>
      <c r="H32" s="29">
        <v>6.38</v>
      </c>
      <c r="I32" t="s">
        <v>161</v>
      </c>
    </row>
    <row r="33" spans="1:9" x14ac:dyDescent="0.25">
      <c r="A33" s="29" t="s">
        <v>16</v>
      </c>
      <c r="B33" s="29">
        <v>1977</v>
      </c>
      <c r="C33" s="38">
        <v>116.185621</v>
      </c>
      <c r="D33" s="29">
        <v>160</v>
      </c>
      <c r="E33" s="29">
        <v>800</v>
      </c>
      <c r="F33" s="30">
        <f t="shared" si="0"/>
        <v>0.42922374429223742</v>
      </c>
      <c r="G33" s="29">
        <v>0.86</v>
      </c>
      <c r="H33" s="29">
        <v>6.38</v>
      </c>
      <c r="I33" t="s">
        <v>161</v>
      </c>
    </row>
    <row r="34" spans="1:9" x14ac:dyDescent="0.25">
      <c r="A34" s="29" t="s">
        <v>17</v>
      </c>
      <c r="B34" s="29">
        <v>1951</v>
      </c>
      <c r="C34" s="38">
        <v>4.6199830000000004</v>
      </c>
      <c r="D34" s="29">
        <v>0.1</v>
      </c>
      <c r="E34" s="29">
        <v>0.1</v>
      </c>
      <c r="F34" s="30">
        <f t="shared" si="0"/>
        <v>0.88584474885844744</v>
      </c>
      <c r="G34" s="29">
        <v>0.86</v>
      </c>
      <c r="H34" s="29">
        <v>6.38</v>
      </c>
      <c r="I34" t="s">
        <v>208</v>
      </c>
    </row>
    <row r="35" spans="1:9" x14ac:dyDescent="0.25">
      <c r="A35" s="29" t="s">
        <v>246</v>
      </c>
      <c r="B35" s="29">
        <v>1977</v>
      </c>
      <c r="C35" s="38">
        <f>73.987714-C34</f>
        <v>69.367730999999992</v>
      </c>
      <c r="D35" s="29">
        <v>0.1</v>
      </c>
      <c r="E35" s="29">
        <v>0.1</v>
      </c>
      <c r="F35" s="30">
        <f t="shared" si="0"/>
        <v>0.88584474885844744</v>
      </c>
      <c r="G35" s="29">
        <v>0.86</v>
      </c>
      <c r="H35" s="29">
        <v>6.38</v>
      </c>
      <c r="I35" t="s">
        <v>209</v>
      </c>
    </row>
    <row r="36" spans="1:9" x14ac:dyDescent="0.25">
      <c r="A36" s="29" t="s">
        <v>18</v>
      </c>
      <c r="B36" s="29">
        <v>1965</v>
      </c>
      <c r="C36" s="38">
        <v>66.656210000000002</v>
      </c>
      <c r="D36" s="29">
        <v>540</v>
      </c>
      <c r="E36" s="29">
        <v>2500</v>
      </c>
      <c r="F36" s="30">
        <f t="shared" ref="F36:F67" si="1">1-IF(D36=0,0,E36/(8.76*D36))</f>
        <v>0.47150346693725687</v>
      </c>
      <c r="G36" s="29">
        <v>0.86</v>
      </c>
      <c r="H36" s="29">
        <v>6.38</v>
      </c>
      <c r="I36" t="s">
        <v>135</v>
      </c>
    </row>
    <row r="37" spans="1:9" x14ac:dyDescent="0.25">
      <c r="A37" s="29" t="s">
        <v>247</v>
      </c>
      <c r="B37" s="29">
        <v>2010</v>
      </c>
      <c r="C37" s="38">
        <v>67</v>
      </c>
      <c r="D37" s="29">
        <v>0.1</v>
      </c>
      <c r="E37" s="29">
        <v>70</v>
      </c>
      <c r="F37" s="30">
        <f t="shared" si="1"/>
        <v>-78.908675799086751</v>
      </c>
      <c r="G37" s="29">
        <v>0.86</v>
      </c>
      <c r="H37" s="29">
        <v>6.38</v>
      </c>
      <c r="I37" s="31" t="s">
        <v>227</v>
      </c>
    </row>
    <row r="38" spans="1:9" x14ac:dyDescent="0.25">
      <c r="A38" s="29" t="s">
        <v>19</v>
      </c>
      <c r="B38" s="29">
        <v>1968</v>
      </c>
      <c r="C38" s="38">
        <v>37.545741</v>
      </c>
      <c r="D38" s="29">
        <v>220</v>
      </c>
      <c r="E38" s="29">
        <v>930</v>
      </c>
      <c r="F38" s="30">
        <f t="shared" si="1"/>
        <v>0.51743462017434627</v>
      </c>
      <c r="G38" s="29">
        <v>0.86</v>
      </c>
      <c r="H38" s="29">
        <v>6.38</v>
      </c>
      <c r="I38" t="s">
        <v>161</v>
      </c>
    </row>
    <row r="39" spans="1:9" x14ac:dyDescent="0.25">
      <c r="A39" s="29" t="s">
        <v>20</v>
      </c>
      <c r="B39" s="29">
        <v>1934</v>
      </c>
      <c r="C39" s="38">
        <f>(0.048824+1.168131+0.955217+0.593923)*2</f>
        <v>5.5321899999999999</v>
      </c>
      <c r="D39" s="29">
        <v>75</v>
      </c>
      <c r="E39" s="29">
        <v>350</v>
      </c>
      <c r="F39" s="30">
        <f t="shared" si="1"/>
        <v>0.46727549467275498</v>
      </c>
      <c r="G39" s="29">
        <v>0.86</v>
      </c>
      <c r="H39" s="29">
        <v>6.38</v>
      </c>
      <c r="I39" t="s">
        <v>178</v>
      </c>
    </row>
    <row r="40" spans="1:9" x14ac:dyDescent="0.25">
      <c r="A40" s="29" t="s">
        <v>248</v>
      </c>
      <c r="B40" s="29">
        <v>1954</v>
      </c>
      <c r="C40" s="38">
        <f>9.702507-C39</f>
        <v>4.1703170000000007</v>
      </c>
      <c r="D40" s="29">
        <v>30</v>
      </c>
      <c r="E40" s="29">
        <f>500-E39</f>
        <v>150</v>
      </c>
      <c r="F40" s="30">
        <f t="shared" si="1"/>
        <v>0.42922374429223742</v>
      </c>
      <c r="G40" s="29">
        <v>0.86</v>
      </c>
      <c r="H40" s="29">
        <v>6.38</v>
      </c>
      <c r="I40" t="s">
        <v>179</v>
      </c>
    </row>
    <row r="41" spans="1:9" x14ac:dyDescent="0.25">
      <c r="A41" s="29" t="s">
        <v>21</v>
      </c>
      <c r="B41" s="29">
        <v>1920</v>
      </c>
      <c r="C41" s="38">
        <v>2.2369999999999998E-3</v>
      </c>
      <c r="D41" s="29">
        <v>0.1</v>
      </c>
      <c r="E41" s="29">
        <v>0.1</v>
      </c>
      <c r="F41" s="30">
        <f t="shared" si="1"/>
        <v>0.88584474885844744</v>
      </c>
      <c r="G41" s="29">
        <v>0.86</v>
      </c>
      <c r="H41" s="29">
        <v>6.38</v>
      </c>
      <c r="I41" t="s">
        <v>235</v>
      </c>
    </row>
    <row r="42" spans="1:9" x14ac:dyDescent="0.25">
      <c r="A42" s="29" t="s">
        <v>22</v>
      </c>
      <c r="B42" s="29">
        <v>1959</v>
      </c>
      <c r="C42" s="38">
        <v>4.9149409999999998</v>
      </c>
      <c r="D42" s="29">
        <v>0.1</v>
      </c>
      <c r="E42" s="29">
        <v>0.1</v>
      </c>
      <c r="F42" s="30">
        <f t="shared" si="1"/>
        <v>0.88584474885844744</v>
      </c>
      <c r="G42" s="29">
        <v>0.86</v>
      </c>
      <c r="H42" s="29">
        <v>6.38</v>
      </c>
      <c r="I42" t="s">
        <v>166</v>
      </c>
    </row>
    <row r="43" spans="1:9" x14ac:dyDescent="0.25">
      <c r="A43" s="29" t="s">
        <v>23</v>
      </c>
      <c r="B43" s="29">
        <v>1956</v>
      </c>
      <c r="C43" s="38">
        <f>20.68713*2</f>
        <v>41.37426</v>
      </c>
      <c r="D43" s="29">
        <v>160</v>
      </c>
      <c r="E43" s="29">
        <v>1350</v>
      </c>
      <c r="F43" s="30">
        <f t="shared" si="1"/>
        <v>3.6815068493150638E-2</v>
      </c>
      <c r="G43" s="29">
        <v>0.86</v>
      </c>
      <c r="H43" s="29">
        <v>6.38</v>
      </c>
      <c r="I43" t="s">
        <v>55</v>
      </c>
    </row>
    <row r="44" spans="1:9" x14ac:dyDescent="0.25">
      <c r="A44" s="29" t="s">
        <v>249</v>
      </c>
      <c r="B44" s="29">
        <v>1962</v>
      </c>
      <c r="C44" s="38">
        <f>49.380534-C43</f>
        <v>8.0062739999999977</v>
      </c>
      <c r="D44" s="29">
        <v>160</v>
      </c>
      <c r="E44" s="29">
        <v>300</v>
      </c>
      <c r="F44" s="30">
        <f t="shared" si="1"/>
        <v>0.78595890410958902</v>
      </c>
      <c r="G44" s="29">
        <v>0.86</v>
      </c>
      <c r="H44" s="29">
        <v>6.38</v>
      </c>
      <c r="I44" t="s">
        <v>167</v>
      </c>
    </row>
    <row r="45" spans="1:9" x14ac:dyDescent="0.25">
      <c r="A45" s="29" t="s">
        <v>41</v>
      </c>
      <c r="B45" s="29">
        <v>1944</v>
      </c>
      <c r="C45" s="38">
        <f>(0.058037+0.43346+0.050449+0.076652)*2</f>
        <v>1.237196</v>
      </c>
      <c r="D45" s="29">
        <v>12</v>
      </c>
      <c r="E45" s="29">
        <v>60</v>
      </c>
      <c r="F45" s="30">
        <f t="shared" si="1"/>
        <v>0.42922374429223742</v>
      </c>
      <c r="G45" s="29">
        <v>0.86</v>
      </c>
      <c r="H45" s="29">
        <v>6.38</v>
      </c>
      <c r="I45" t="s">
        <v>140</v>
      </c>
    </row>
    <row r="46" spans="1:9" x14ac:dyDescent="0.25">
      <c r="A46" s="29" t="s">
        <v>250</v>
      </c>
      <c r="B46" s="29">
        <v>1956</v>
      </c>
      <c r="C46" s="38">
        <f>10.09317-C45</f>
        <v>8.8559739999999998</v>
      </c>
      <c r="D46" s="29">
        <f>32-D45</f>
        <v>20</v>
      </c>
      <c r="E46" s="29">
        <f>190-E45</f>
        <v>130</v>
      </c>
      <c r="F46" s="30">
        <f t="shared" si="1"/>
        <v>0.25799086757990863</v>
      </c>
      <c r="G46" s="29">
        <v>0.86</v>
      </c>
      <c r="H46" s="29">
        <v>6.38</v>
      </c>
      <c r="I46" t="s">
        <v>161</v>
      </c>
    </row>
    <row r="47" spans="1:9" x14ac:dyDescent="0.25">
      <c r="A47" s="29" t="s">
        <v>24</v>
      </c>
      <c r="B47" s="29">
        <v>1932</v>
      </c>
      <c r="C47" s="38">
        <v>0.35363600000000001</v>
      </c>
      <c r="D47" s="29">
        <v>3</v>
      </c>
      <c r="E47" s="29">
        <v>20</v>
      </c>
      <c r="F47" s="30">
        <f t="shared" si="1"/>
        <v>0.23896499238964997</v>
      </c>
      <c r="G47" s="29">
        <v>0.86</v>
      </c>
      <c r="H47" s="29">
        <v>6.38</v>
      </c>
      <c r="I47" t="s">
        <v>161</v>
      </c>
    </row>
    <row r="48" spans="1:9" x14ac:dyDescent="0.25">
      <c r="A48" s="29" t="s">
        <v>25</v>
      </c>
      <c r="B48" s="29">
        <v>1914</v>
      </c>
      <c r="C48" s="38">
        <v>0.2</v>
      </c>
      <c r="D48" s="29">
        <v>4.5</v>
      </c>
      <c r="E48" s="29">
        <v>25</v>
      </c>
      <c r="F48" s="30">
        <f t="shared" si="1"/>
        <v>0.36580416032470831</v>
      </c>
      <c r="G48" s="29">
        <v>0.86</v>
      </c>
      <c r="H48" s="29">
        <v>6.38</v>
      </c>
      <c r="I48" t="s">
        <v>224</v>
      </c>
    </row>
    <row r="49" spans="1:9" x14ac:dyDescent="0.25">
      <c r="A49" s="29" t="s">
        <v>251</v>
      </c>
      <c r="B49" s="29">
        <v>1917</v>
      </c>
      <c r="C49" s="38">
        <v>0.1</v>
      </c>
      <c r="D49" s="29">
        <v>1.5</v>
      </c>
      <c r="E49" s="29">
        <v>8</v>
      </c>
      <c r="F49" s="30">
        <f t="shared" si="1"/>
        <v>0.39117199391171997</v>
      </c>
      <c r="G49" s="29">
        <v>0.86</v>
      </c>
      <c r="H49" s="29">
        <v>6.38</v>
      </c>
      <c r="I49" t="s">
        <v>225</v>
      </c>
    </row>
    <row r="50" spans="1:9" x14ac:dyDescent="0.25">
      <c r="A50" s="29" t="s">
        <v>252</v>
      </c>
      <c r="B50" s="29">
        <v>1923</v>
      </c>
      <c r="C50" s="38">
        <v>0.3</v>
      </c>
      <c r="D50" s="29">
        <v>6</v>
      </c>
      <c r="E50" s="29">
        <v>30</v>
      </c>
      <c r="F50" s="30">
        <f t="shared" si="1"/>
        <v>0.42922374429223742</v>
      </c>
      <c r="G50" s="29">
        <v>0.86</v>
      </c>
      <c r="H50" s="29">
        <v>6.38</v>
      </c>
      <c r="I50" t="s">
        <v>215</v>
      </c>
    </row>
    <row r="51" spans="1:9" x14ac:dyDescent="0.25">
      <c r="A51" s="29" t="s">
        <v>253</v>
      </c>
      <c r="B51" s="29">
        <v>1926</v>
      </c>
      <c r="C51" s="38">
        <v>0.8</v>
      </c>
      <c r="D51" s="29">
        <v>15</v>
      </c>
      <c r="E51" s="29">
        <v>40</v>
      </c>
      <c r="F51" s="30">
        <f t="shared" si="1"/>
        <v>0.69558599695585999</v>
      </c>
      <c r="G51" s="29">
        <v>0.86</v>
      </c>
      <c r="H51" s="29">
        <v>6.38</v>
      </c>
      <c r="I51" t="s">
        <v>56</v>
      </c>
    </row>
    <row r="52" spans="1:9" x14ac:dyDescent="0.25">
      <c r="A52" s="29" t="s">
        <v>254</v>
      </c>
      <c r="B52" s="29">
        <v>1930</v>
      </c>
      <c r="C52" s="38">
        <f>(0.030865+0.550734+0.105438+0.24925)*2-C51-C50-C49-C48</f>
        <v>0.47257399999999988</v>
      </c>
      <c r="D52" s="29">
        <v>7.5</v>
      </c>
      <c r="E52" s="29">
        <v>30</v>
      </c>
      <c r="F52" s="30">
        <f t="shared" si="1"/>
        <v>0.54337899543378998</v>
      </c>
      <c r="G52" s="29">
        <v>0.86</v>
      </c>
      <c r="H52" s="29">
        <v>6.38</v>
      </c>
      <c r="I52" t="s">
        <v>58</v>
      </c>
    </row>
    <row r="53" spans="1:9" x14ac:dyDescent="0.25">
      <c r="A53" s="29" t="s">
        <v>255</v>
      </c>
      <c r="B53" s="29">
        <v>1977</v>
      </c>
      <c r="C53" s="38">
        <f>5.384087-C52-C51-C50-C49-C48</f>
        <v>3.5115130000000003</v>
      </c>
      <c r="D53" s="29">
        <v>0.1</v>
      </c>
      <c r="E53" s="29">
        <f>205-E48-E52-E49-E50-E51</f>
        <v>72</v>
      </c>
      <c r="F53" s="30">
        <f t="shared" si="1"/>
        <v>-81.191780821917803</v>
      </c>
      <c r="G53" s="29">
        <v>0.86</v>
      </c>
      <c r="H53" s="29">
        <v>6.38</v>
      </c>
      <c r="I53" t="s">
        <v>143</v>
      </c>
    </row>
    <row r="54" spans="1:9" x14ac:dyDescent="0.25">
      <c r="A54" s="29" t="s">
        <v>256</v>
      </c>
      <c r="B54" s="29">
        <v>2000</v>
      </c>
      <c r="C54" s="38">
        <v>6</v>
      </c>
      <c r="D54" s="29">
        <f>9-4.5</f>
        <v>4.5</v>
      </c>
      <c r="E54" s="29">
        <v>65</v>
      </c>
      <c r="F54" s="30">
        <f t="shared" si="1"/>
        <v>-0.64890918315575852</v>
      </c>
      <c r="G54" s="29">
        <v>0.86</v>
      </c>
      <c r="H54" s="29">
        <v>6.38</v>
      </c>
      <c r="I54" t="s">
        <v>57</v>
      </c>
    </row>
    <row r="55" spans="1:9" x14ac:dyDescent="0.25">
      <c r="A55" s="29" t="s">
        <v>26</v>
      </c>
      <c r="B55" s="29">
        <v>1945</v>
      </c>
      <c r="C55" s="38">
        <v>1.2808379999999999</v>
      </c>
      <c r="D55" s="29">
        <v>25.2</v>
      </c>
      <c r="E55" s="29">
        <v>93</v>
      </c>
      <c r="F55" s="30">
        <f t="shared" si="1"/>
        <v>0.57871276364427038</v>
      </c>
      <c r="G55" s="29">
        <v>0.86</v>
      </c>
      <c r="H55" s="29">
        <v>6.38</v>
      </c>
      <c r="I55" t="s">
        <v>135</v>
      </c>
    </row>
    <row r="56" spans="1:9" x14ac:dyDescent="0.25">
      <c r="A56" s="29" t="s">
        <v>257</v>
      </c>
      <c r="B56" s="29">
        <v>1979</v>
      </c>
      <c r="C56" s="38">
        <f>2.114979-C55</f>
        <v>0.83414100000000002</v>
      </c>
      <c r="D56" s="29">
        <v>0.1</v>
      </c>
      <c r="E56" s="29">
        <v>1</v>
      </c>
      <c r="F56" s="30">
        <f t="shared" si="1"/>
        <v>-0.14155251141552516</v>
      </c>
      <c r="G56" s="29">
        <v>0.86</v>
      </c>
      <c r="H56" s="29">
        <v>6.38</v>
      </c>
      <c r="I56" t="s">
        <v>141</v>
      </c>
    </row>
    <row r="57" spans="1:9" x14ac:dyDescent="0.25">
      <c r="A57" s="32" t="s">
        <v>27</v>
      </c>
      <c r="B57" s="29">
        <v>1971</v>
      </c>
      <c r="C57" s="38">
        <v>11.873313</v>
      </c>
      <c r="D57" s="29">
        <v>0.1</v>
      </c>
      <c r="E57" s="29">
        <v>1</v>
      </c>
      <c r="F57" s="30">
        <f t="shared" si="1"/>
        <v>-0.14155251141552516</v>
      </c>
      <c r="G57" s="29">
        <v>0.86</v>
      </c>
      <c r="H57" s="29">
        <v>6.38</v>
      </c>
      <c r="I57" t="s">
        <v>211</v>
      </c>
    </row>
    <row r="58" spans="1:9" x14ac:dyDescent="0.25">
      <c r="A58" s="32" t="s">
        <v>28</v>
      </c>
      <c r="B58" s="29">
        <v>1971</v>
      </c>
      <c r="C58" s="38">
        <v>9.8099019999999992</v>
      </c>
      <c r="D58" s="29">
        <v>0.1</v>
      </c>
      <c r="E58" s="29">
        <v>1</v>
      </c>
      <c r="F58" s="30">
        <f t="shared" si="1"/>
        <v>-0.14155251141552516</v>
      </c>
      <c r="G58" s="29">
        <v>0.86</v>
      </c>
      <c r="H58" s="29">
        <v>6.38</v>
      </c>
      <c r="I58" t="s">
        <v>211</v>
      </c>
    </row>
    <row r="59" spans="1:9" x14ac:dyDescent="0.25">
      <c r="A59" s="29" t="s">
        <v>29</v>
      </c>
      <c r="B59" s="29">
        <v>1971</v>
      </c>
      <c r="C59" s="38">
        <v>119.44128499999999</v>
      </c>
      <c r="D59" s="29">
        <v>585</v>
      </c>
      <c r="E59" s="29">
        <v>4800</v>
      </c>
      <c r="F59" s="30">
        <f t="shared" si="1"/>
        <v>6.3341529094953608E-2</v>
      </c>
      <c r="G59" s="29">
        <v>0.86</v>
      </c>
      <c r="H59" s="29">
        <v>6.38</v>
      </c>
      <c r="I59" t="s">
        <v>161</v>
      </c>
    </row>
    <row r="60" spans="1:9" s="1" customFormat="1" x14ac:dyDescent="0.25">
      <c r="A60" s="29" t="s">
        <v>258</v>
      </c>
      <c r="B60" s="29">
        <v>2002</v>
      </c>
      <c r="C60" s="38">
        <f>200+10.265</f>
        <v>210.26499999999999</v>
      </c>
      <c r="D60" s="29">
        <v>125</v>
      </c>
      <c r="E60" s="29">
        <v>1</v>
      </c>
      <c r="F60" s="30">
        <f t="shared" si="1"/>
        <v>0.99908675799086755</v>
      </c>
      <c r="G60" s="29">
        <v>0.86</v>
      </c>
      <c r="H60" s="29">
        <v>6.38</v>
      </c>
      <c r="I60" s="1" t="s">
        <v>146</v>
      </c>
    </row>
    <row r="61" spans="1:9" s="1" customFormat="1" x14ac:dyDescent="0.25">
      <c r="A61" s="29" t="s">
        <v>259</v>
      </c>
      <c r="B61" s="29">
        <v>2007</v>
      </c>
      <c r="C61" s="38">
        <v>90</v>
      </c>
      <c r="D61" s="29">
        <v>140</v>
      </c>
      <c r="E61" s="29">
        <v>70</v>
      </c>
      <c r="F61" s="30">
        <f t="shared" si="1"/>
        <v>0.94292237442922378</v>
      </c>
      <c r="G61" s="29">
        <v>0.86</v>
      </c>
      <c r="H61" s="29">
        <v>6.38</v>
      </c>
      <c r="I61" s="1" t="s">
        <v>147</v>
      </c>
    </row>
    <row r="62" spans="1:9" x14ac:dyDescent="0.25">
      <c r="A62" s="29" t="s">
        <v>30</v>
      </c>
      <c r="B62" s="29">
        <v>1925</v>
      </c>
      <c r="C62" s="38">
        <v>0.76555899999999999</v>
      </c>
      <c r="D62" s="29">
        <v>6</v>
      </c>
      <c r="E62" s="29">
        <v>40</v>
      </c>
      <c r="F62" s="30">
        <f t="shared" si="1"/>
        <v>0.23896499238964997</v>
      </c>
      <c r="G62" s="29">
        <v>0.86</v>
      </c>
      <c r="H62" s="29">
        <v>6.38</v>
      </c>
      <c r="I62" t="s">
        <v>161</v>
      </c>
    </row>
    <row r="63" spans="1:9" x14ac:dyDescent="0.25">
      <c r="A63" s="29" t="s">
        <v>31</v>
      </c>
      <c r="B63" s="29">
        <v>1980</v>
      </c>
      <c r="C63" s="38">
        <v>152.688593</v>
      </c>
      <c r="D63" s="29">
        <v>264</v>
      </c>
      <c r="E63" s="29">
        <v>1150</v>
      </c>
      <c r="F63" s="30">
        <f t="shared" si="1"/>
        <v>0.50273280752732807</v>
      </c>
      <c r="G63" s="29">
        <v>0.86</v>
      </c>
      <c r="H63" s="29">
        <v>6.38</v>
      </c>
      <c r="I63" t="s">
        <v>161</v>
      </c>
    </row>
    <row r="64" spans="1:9" x14ac:dyDescent="0.25">
      <c r="A64" s="29" t="s">
        <v>53</v>
      </c>
      <c r="B64" s="29">
        <v>1984</v>
      </c>
      <c r="C64" s="38">
        <v>145.265075</v>
      </c>
      <c r="D64" s="29">
        <v>212</v>
      </c>
      <c r="E64" s="29">
        <v>970</v>
      </c>
      <c r="F64" s="30">
        <f t="shared" si="1"/>
        <v>0.47768587921082106</v>
      </c>
      <c r="G64" s="29">
        <v>0.86</v>
      </c>
      <c r="H64" s="29">
        <v>6.38</v>
      </c>
      <c r="I64" t="s">
        <v>161</v>
      </c>
    </row>
    <row r="65" spans="1:9" x14ac:dyDescent="0.25">
      <c r="A65" s="29" t="s">
        <v>54</v>
      </c>
      <c r="B65" s="29">
        <v>1985</v>
      </c>
      <c r="C65" s="38">
        <v>98.347781999999995</v>
      </c>
      <c r="D65" s="29">
        <v>212</v>
      </c>
      <c r="E65" s="29">
        <v>970</v>
      </c>
      <c r="F65" s="30">
        <f t="shared" si="1"/>
        <v>0.47768587921082106</v>
      </c>
      <c r="G65" s="29">
        <v>0.86</v>
      </c>
      <c r="H65" s="29">
        <v>6.38</v>
      </c>
      <c r="I65" t="s">
        <v>161</v>
      </c>
    </row>
    <row r="66" spans="1:9" x14ac:dyDescent="0.25">
      <c r="A66" s="29" t="s">
        <v>59</v>
      </c>
      <c r="B66" s="29">
        <v>1992</v>
      </c>
      <c r="C66" s="38">
        <v>1700</v>
      </c>
      <c r="D66" s="29">
        <v>432</v>
      </c>
      <c r="E66" s="29">
        <v>2050</v>
      </c>
      <c r="F66" s="30">
        <f t="shared" si="1"/>
        <v>0.45829105361068823</v>
      </c>
      <c r="G66" s="29">
        <v>0.86</v>
      </c>
      <c r="H66" s="29">
        <v>6.38</v>
      </c>
      <c r="I66" t="s">
        <v>233</v>
      </c>
    </row>
    <row r="67" spans="1:9" x14ac:dyDescent="0.25">
      <c r="A67" s="32" t="s">
        <v>32</v>
      </c>
      <c r="B67" s="29">
        <v>1979</v>
      </c>
      <c r="C67" s="38">
        <v>7.61585</v>
      </c>
      <c r="D67" s="29">
        <v>0.1</v>
      </c>
      <c r="E67" s="29">
        <v>0.1</v>
      </c>
      <c r="F67" s="30">
        <f t="shared" si="1"/>
        <v>0.88584474885844744</v>
      </c>
      <c r="G67" s="29">
        <v>0.86</v>
      </c>
      <c r="H67" s="29">
        <v>6.38</v>
      </c>
      <c r="I67" t="s">
        <v>209</v>
      </c>
    </row>
    <row r="68" spans="1:9" x14ac:dyDescent="0.25">
      <c r="A68" s="32" t="s">
        <v>33</v>
      </c>
      <c r="B68" s="29">
        <v>1979</v>
      </c>
      <c r="C68" s="38">
        <v>7.7456120000000004</v>
      </c>
      <c r="D68" s="29">
        <v>0.1</v>
      </c>
      <c r="E68" s="29">
        <v>0.1</v>
      </c>
      <c r="F68" s="30">
        <f t="shared" ref="F68:F99" si="2">1-IF(D68=0,0,E68/(8.76*D68))</f>
        <v>0.88584474885844744</v>
      </c>
      <c r="G68" s="29">
        <v>0.86</v>
      </c>
      <c r="H68" s="29">
        <v>6.38</v>
      </c>
      <c r="I68" t="s">
        <v>209</v>
      </c>
    </row>
    <row r="69" spans="1:9" x14ac:dyDescent="0.25">
      <c r="A69" s="29" t="s">
        <v>34</v>
      </c>
      <c r="B69" s="29">
        <v>1967</v>
      </c>
      <c r="C69" s="38">
        <v>30.815639000000001</v>
      </c>
      <c r="D69" s="29">
        <v>240</v>
      </c>
      <c r="E69" s="29">
        <v>400</v>
      </c>
      <c r="F69" s="30">
        <f t="shared" si="2"/>
        <v>0.80974124809741244</v>
      </c>
      <c r="G69" s="29">
        <v>9.6</v>
      </c>
      <c r="H69" s="29">
        <v>70</v>
      </c>
      <c r="I69" t="s">
        <v>197</v>
      </c>
    </row>
    <row r="70" spans="1:9" x14ac:dyDescent="0.25">
      <c r="A70" s="29" t="s">
        <v>260</v>
      </c>
      <c r="B70" s="29">
        <v>1997</v>
      </c>
      <c r="C70" s="38">
        <v>0</v>
      </c>
      <c r="D70" s="29">
        <v>-240</v>
      </c>
      <c r="E70" s="29">
        <f>-E69</f>
        <v>-400</v>
      </c>
      <c r="F70" s="30">
        <f t="shared" si="2"/>
        <v>0.80974124809741244</v>
      </c>
      <c r="G70" s="29"/>
      <c r="H70" s="29"/>
      <c r="I70" t="s">
        <v>196</v>
      </c>
    </row>
    <row r="71" spans="1:9" x14ac:dyDescent="0.25">
      <c r="A71" s="29" t="s">
        <v>35</v>
      </c>
      <c r="B71" s="29">
        <v>1979</v>
      </c>
      <c r="C71" s="38">
        <v>115.75005</v>
      </c>
      <c r="D71" s="29">
        <v>250</v>
      </c>
      <c r="E71" s="29">
        <v>1000</v>
      </c>
      <c r="F71" s="30">
        <f t="shared" si="2"/>
        <v>0.54337899543378998</v>
      </c>
      <c r="G71" s="29">
        <v>9.6</v>
      </c>
      <c r="H71" s="29">
        <v>70</v>
      </c>
      <c r="I71" t="s">
        <v>197</v>
      </c>
    </row>
    <row r="72" spans="1:9" x14ac:dyDescent="0.25">
      <c r="A72" s="29" t="s">
        <v>261</v>
      </c>
      <c r="B72" s="29">
        <v>1979</v>
      </c>
      <c r="C72" s="38">
        <v>0</v>
      </c>
      <c r="D72" s="29">
        <v>-250</v>
      </c>
      <c r="E72" s="29">
        <f>-E71</f>
        <v>-1000</v>
      </c>
      <c r="F72" s="30">
        <f t="shared" si="2"/>
        <v>0.54337899543378998</v>
      </c>
      <c r="G72" s="29"/>
      <c r="H72" s="29"/>
      <c r="I72" t="s">
        <v>198</v>
      </c>
    </row>
    <row r="73" spans="1:9" x14ac:dyDescent="0.25">
      <c r="A73" s="29" t="s">
        <v>36</v>
      </c>
      <c r="B73" s="29">
        <v>1968</v>
      </c>
      <c r="C73" s="38">
        <v>15.694708</v>
      </c>
      <c r="D73" s="29">
        <v>180</v>
      </c>
      <c r="E73" s="29">
        <v>600</v>
      </c>
      <c r="F73" s="30">
        <f t="shared" si="2"/>
        <v>0.61948249619482487</v>
      </c>
      <c r="G73" s="29">
        <v>9.6</v>
      </c>
      <c r="H73" s="29">
        <v>20</v>
      </c>
      <c r="I73" t="s">
        <v>162</v>
      </c>
    </row>
    <row r="74" spans="1:9" x14ac:dyDescent="0.25">
      <c r="A74" s="29" t="s">
        <v>262</v>
      </c>
      <c r="B74" s="29">
        <v>1978</v>
      </c>
      <c r="C74" s="38">
        <f>27.928248-C73</f>
        <v>12.23354</v>
      </c>
      <c r="D74" s="29">
        <v>90</v>
      </c>
      <c r="E74" s="29">
        <v>300</v>
      </c>
      <c r="F74" s="30">
        <f t="shared" si="2"/>
        <v>0.61948249619482487</v>
      </c>
      <c r="G74" s="29">
        <v>9.6</v>
      </c>
      <c r="H74" s="29">
        <v>20</v>
      </c>
      <c r="I74" t="s">
        <v>163</v>
      </c>
    </row>
    <row r="75" spans="1:9" x14ac:dyDescent="0.25">
      <c r="A75" s="29" t="s">
        <v>263</v>
      </c>
      <c r="B75" s="29">
        <v>1987</v>
      </c>
      <c r="C75" s="38">
        <v>0</v>
      </c>
      <c r="D75" s="29">
        <v>-270</v>
      </c>
      <c r="E75" s="29">
        <v>-900</v>
      </c>
      <c r="F75" s="30">
        <f t="shared" si="2"/>
        <v>0.61948249619482487</v>
      </c>
      <c r="G75" s="29"/>
      <c r="H75" s="29"/>
      <c r="I75" t="s">
        <v>199</v>
      </c>
    </row>
    <row r="76" spans="1:9" x14ac:dyDescent="0.25">
      <c r="A76" s="29" t="s">
        <v>37</v>
      </c>
      <c r="B76" s="29">
        <v>1958</v>
      </c>
      <c r="C76" s="38">
        <f>17.839467*2</f>
        <v>35.678933999999998</v>
      </c>
      <c r="D76" s="29">
        <v>180</v>
      </c>
      <c r="E76" s="29">
        <v>950</v>
      </c>
      <c r="F76" s="30">
        <f t="shared" si="2"/>
        <v>0.39751395230847286</v>
      </c>
      <c r="G76" s="29">
        <v>9.6</v>
      </c>
      <c r="H76" s="29">
        <v>70</v>
      </c>
      <c r="I76" t="s">
        <v>107</v>
      </c>
    </row>
    <row r="77" spans="1:9" x14ac:dyDescent="0.25">
      <c r="A77" s="29" t="s">
        <v>264</v>
      </c>
      <c r="B77" s="29">
        <v>1967</v>
      </c>
      <c r="C77" s="38">
        <f>39.0518-C76</f>
        <v>3.3728660000000019</v>
      </c>
      <c r="D77" s="29">
        <v>30</v>
      </c>
      <c r="E77" s="29">
        <v>150</v>
      </c>
      <c r="F77" s="30">
        <f t="shared" si="2"/>
        <v>0.42922374429223742</v>
      </c>
      <c r="G77" s="29">
        <v>9.6</v>
      </c>
      <c r="H77" s="29">
        <v>70</v>
      </c>
      <c r="I77" t="s">
        <v>298</v>
      </c>
    </row>
    <row r="78" spans="1:9" x14ac:dyDescent="0.25">
      <c r="A78" s="29" t="s">
        <v>265</v>
      </c>
      <c r="B78" s="29">
        <v>1991</v>
      </c>
      <c r="C78" s="38">
        <v>0</v>
      </c>
      <c r="D78" s="29">
        <v>-210</v>
      </c>
      <c r="E78" s="29">
        <v>-1100</v>
      </c>
      <c r="F78" s="30">
        <f t="shared" si="2"/>
        <v>0.40204392259186772</v>
      </c>
      <c r="G78" s="29"/>
      <c r="H78" s="29"/>
      <c r="I78" t="s">
        <v>192</v>
      </c>
    </row>
    <row r="79" spans="1:9" x14ac:dyDescent="0.25">
      <c r="A79" s="29" t="s">
        <v>38</v>
      </c>
      <c r="B79" s="29">
        <v>1958</v>
      </c>
      <c r="C79" s="38">
        <f>8.413252*2</f>
        <v>16.826504</v>
      </c>
      <c r="D79" s="29">
        <v>69</v>
      </c>
      <c r="E79" s="29">
        <v>450</v>
      </c>
      <c r="F79" s="30">
        <f t="shared" si="2"/>
        <v>0.25550923168552697</v>
      </c>
      <c r="G79" s="29"/>
      <c r="H79" s="29">
        <v>105</v>
      </c>
      <c r="I79" t="s">
        <v>183</v>
      </c>
    </row>
    <row r="80" spans="1:9" x14ac:dyDescent="0.25">
      <c r="A80" s="29" t="s">
        <v>266</v>
      </c>
      <c r="B80" s="29">
        <v>1964</v>
      </c>
      <c r="C80" s="38">
        <f>46.542583-C79</f>
        <v>29.716079000000001</v>
      </c>
      <c r="D80" s="29">
        <v>123</v>
      </c>
      <c r="E80" s="29">
        <f>1300-E79</f>
        <v>850</v>
      </c>
      <c r="F80" s="30">
        <f t="shared" si="2"/>
        <v>0.21112224820878345</v>
      </c>
      <c r="G80" s="29"/>
      <c r="H80" s="29">
        <v>105</v>
      </c>
      <c r="I80" t="s">
        <v>184</v>
      </c>
    </row>
    <row r="81" spans="1:9" x14ac:dyDescent="0.25">
      <c r="A81" s="29" t="s">
        <v>267</v>
      </c>
      <c r="B81" s="29">
        <v>2005</v>
      </c>
      <c r="C81" s="38">
        <v>70</v>
      </c>
      <c r="D81" s="29">
        <v>14</v>
      </c>
      <c r="E81" s="29">
        <v>90</v>
      </c>
      <c r="F81" s="30">
        <f t="shared" si="2"/>
        <v>0.26614481409001955</v>
      </c>
      <c r="G81" s="29"/>
      <c r="H81" s="29">
        <v>105</v>
      </c>
      <c r="I81" t="s">
        <v>185</v>
      </c>
    </row>
    <row r="82" spans="1:9" x14ac:dyDescent="0.25">
      <c r="A82" s="29" t="s">
        <v>39</v>
      </c>
      <c r="B82" s="29">
        <v>1974</v>
      </c>
      <c r="C82" s="38">
        <v>136.307197</v>
      </c>
      <c r="D82" s="29">
        <v>600</v>
      </c>
      <c r="E82" s="29">
        <v>700</v>
      </c>
      <c r="F82" s="30">
        <f t="shared" si="2"/>
        <v>0.86681887366818877</v>
      </c>
      <c r="G82" s="29">
        <v>9.6</v>
      </c>
      <c r="H82" s="33">
        <v>20</v>
      </c>
      <c r="I82" t="s">
        <v>161</v>
      </c>
    </row>
    <row r="83" spans="1:9" x14ac:dyDescent="0.25">
      <c r="A83" s="29" t="s">
        <v>268</v>
      </c>
      <c r="B83" s="29">
        <v>2011</v>
      </c>
      <c r="C83" s="38">
        <v>0</v>
      </c>
      <c r="D83" s="29">
        <v>-600</v>
      </c>
      <c r="E83" s="29">
        <v>-700</v>
      </c>
      <c r="F83" s="30">
        <f t="shared" si="2"/>
        <v>0.86681887366818877</v>
      </c>
      <c r="G83" s="29"/>
      <c r="H83" s="33"/>
      <c r="I83" t="s">
        <v>192</v>
      </c>
    </row>
    <row r="84" spans="1:9" x14ac:dyDescent="0.25">
      <c r="A84" s="29" t="s">
        <v>40</v>
      </c>
      <c r="B84" s="29">
        <v>1976</v>
      </c>
      <c r="C84" s="38">
        <v>30.519667999999999</v>
      </c>
      <c r="D84" s="29">
        <v>200</v>
      </c>
      <c r="E84" s="29">
        <v>400</v>
      </c>
      <c r="F84" s="30">
        <f t="shared" si="2"/>
        <v>0.77168949771689499</v>
      </c>
      <c r="G84" s="29">
        <v>9.6</v>
      </c>
      <c r="H84" s="29">
        <v>20</v>
      </c>
      <c r="I84" t="s">
        <v>170</v>
      </c>
    </row>
    <row r="85" spans="1:9" x14ac:dyDescent="0.25">
      <c r="A85" s="29" t="s">
        <v>269</v>
      </c>
      <c r="B85" s="29">
        <v>2001</v>
      </c>
      <c r="C85" s="38">
        <v>0</v>
      </c>
      <c r="D85" s="29">
        <v>-200</v>
      </c>
      <c r="E85" s="29">
        <v>-400</v>
      </c>
      <c r="F85" s="30">
        <f t="shared" si="2"/>
        <v>0.77168949771689499</v>
      </c>
      <c r="G85" s="29"/>
      <c r="H85" s="29"/>
      <c r="I85" t="s">
        <v>192</v>
      </c>
    </row>
    <row r="86" spans="1:9" x14ac:dyDescent="0.25">
      <c r="A86" s="29" t="s">
        <v>133</v>
      </c>
      <c r="B86" s="29">
        <v>1978</v>
      </c>
      <c r="C86" s="38">
        <v>28.20429</v>
      </c>
      <c r="D86" s="29">
        <v>220</v>
      </c>
      <c r="E86" s="29">
        <v>500</v>
      </c>
      <c r="F86" s="30">
        <f t="shared" si="2"/>
        <v>0.74055624740556247</v>
      </c>
      <c r="G86" s="29">
        <v>9.6</v>
      </c>
      <c r="H86" s="29">
        <v>20</v>
      </c>
      <c r="I86" t="s">
        <v>299</v>
      </c>
    </row>
    <row r="87" spans="1:9" x14ac:dyDescent="0.25">
      <c r="A87" s="29" t="s">
        <v>270</v>
      </c>
      <c r="B87" s="29">
        <v>2001</v>
      </c>
      <c r="C87" s="38">
        <v>0</v>
      </c>
      <c r="D87" s="29">
        <v>-220</v>
      </c>
      <c r="E87" s="29">
        <v>-500</v>
      </c>
      <c r="F87" s="30">
        <f t="shared" si="2"/>
        <v>0.74055624740556247</v>
      </c>
      <c r="G87" s="29"/>
      <c r="H87" s="29"/>
      <c r="I87" t="s">
        <v>192</v>
      </c>
    </row>
    <row r="88" spans="1:9" x14ac:dyDescent="0.25">
      <c r="A88" s="29" t="s">
        <v>60</v>
      </c>
      <c r="B88" s="29">
        <v>1983</v>
      </c>
      <c r="C88" s="38">
        <v>722.89753800000005</v>
      </c>
      <c r="D88" s="29">
        <v>1000</v>
      </c>
      <c r="E88" s="29">
        <v>5695</v>
      </c>
      <c r="F88" s="30">
        <f t="shared" si="2"/>
        <v>0.34988584474885842</v>
      </c>
      <c r="G88" s="29">
        <v>9.6</v>
      </c>
      <c r="H88" s="29">
        <v>70</v>
      </c>
      <c r="I88" t="s">
        <v>142</v>
      </c>
    </row>
    <row r="89" spans="1:9" x14ac:dyDescent="0.25">
      <c r="A89" s="36" t="s">
        <v>105</v>
      </c>
      <c r="B89" s="29">
        <v>1966</v>
      </c>
      <c r="C89" s="38">
        <v>2.2000000000000002</v>
      </c>
      <c r="D89" s="29">
        <v>37</v>
      </c>
      <c r="E89" s="29">
        <v>271</v>
      </c>
      <c r="F89" s="30">
        <f t="shared" si="2"/>
        <v>0.16388991731457481</v>
      </c>
      <c r="G89" s="29">
        <v>9.6</v>
      </c>
      <c r="H89" s="29">
        <v>20</v>
      </c>
      <c r="I89" t="s">
        <v>212</v>
      </c>
    </row>
    <row r="90" spans="1:9" x14ac:dyDescent="0.25">
      <c r="A90" s="36" t="s">
        <v>104</v>
      </c>
      <c r="B90" s="29">
        <v>1976</v>
      </c>
      <c r="C90" s="38">
        <v>6.8040000000000003</v>
      </c>
      <c r="D90" s="29">
        <v>6</v>
      </c>
      <c r="E90" s="29">
        <v>17</v>
      </c>
      <c r="F90" s="30">
        <f t="shared" si="2"/>
        <v>0.67656012176560121</v>
      </c>
      <c r="G90" s="29">
        <v>0.86</v>
      </c>
      <c r="H90" s="29">
        <v>6.38</v>
      </c>
      <c r="I90" s="31" t="s">
        <v>145</v>
      </c>
    </row>
    <row r="91" spans="1:9" x14ac:dyDescent="0.25">
      <c r="A91" s="32" t="s">
        <v>103</v>
      </c>
      <c r="B91" s="29">
        <v>1979</v>
      </c>
      <c r="C91" s="38">
        <v>27</v>
      </c>
      <c r="D91" s="29">
        <v>25</v>
      </c>
      <c r="E91" s="29">
        <v>105</v>
      </c>
      <c r="F91" s="30">
        <f t="shared" si="2"/>
        <v>0.52054794520547953</v>
      </c>
      <c r="G91" s="29">
        <v>0.86</v>
      </c>
      <c r="H91" s="29">
        <v>6.38</v>
      </c>
      <c r="I91" t="s">
        <v>213</v>
      </c>
    </row>
    <row r="92" spans="1:9" x14ac:dyDescent="0.25">
      <c r="A92" s="32" t="s">
        <v>102</v>
      </c>
      <c r="B92" s="29">
        <v>1981</v>
      </c>
      <c r="C92" s="38">
        <v>27</v>
      </c>
      <c r="D92" s="29">
        <v>20</v>
      </c>
      <c r="E92" s="29">
        <v>76</v>
      </c>
      <c r="F92" s="30">
        <f t="shared" si="2"/>
        <v>0.56621004566210043</v>
      </c>
      <c r="G92" s="29">
        <v>0.86</v>
      </c>
      <c r="H92" s="29">
        <v>6.38</v>
      </c>
      <c r="I92" s="31" t="s">
        <v>156</v>
      </c>
    </row>
    <row r="93" spans="1:9" x14ac:dyDescent="0.25">
      <c r="A93" s="32" t="s">
        <v>101</v>
      </c>
      <c r="B93" s="29">
        <v>1982</v>
      </c>
      <c r="C93" s="38">
        <v>32</v>
      </c>
      <c r="D93" s="29">
        <v>24</v>
      </c>
      <c r="E93" s="29">
        <v>115</v>
      </c>
      <c r="F93" s="30">
        <f t="shared" si="2"/>
        <v>0.45300608828006095</v>
      </c>
      <c r="G93" s="29">
        <v>0.86</v>
      </c>
      <c r="H93" s="29">
        <v>6.38</v>
      </c>
      <c r="I93" t="s">
        <v>201</v>
      </c>
    </row>
    <row r="94" spans="1:9" x14ac:dyDescent="0.25">
      <c r="A94" s="32" t="s">
        <v>100</v>
      </c>
      <c r="B94" s="29">
        <v>1983</v>
      </c>
      <c r="C94" s="38">
        <v>14</v>
      </c>
      <c r="D94" s="29">
        <v>10.5</v>
      </c>
      <c r="E94" s="29">
        <v>55</v>
      </c>
      <c r="F94" s="30">
        <f t="shared" si="2"/>
        <v>0.40204392259186783</v>
      </c>
      <c r="G94" s="29">
        <v>0.86</v>
      </c>
      <c r="H94" s="29">
        <v>6.38</v>
      </c>
      <c r="I94" t="s">
        <v>201</v>
      </c>
    </row>
    <row r="95" spans="1:9" x14ac:dyDescent="0.25">
      <c r="A95" s="36" t="s">
        <v>99</v>
      </c>
      <c r="B95" s="29">
        <v>1972</v>
      </c>
      <c r="C95" s="38">
        <v>9</v>
      </c>
      <c r="D95" s="29">
        <v>15.6</v>
      </c>
      <c r="E95" s="29">
        <v>70</v>
      </c>
      <c r="F95" s="30">
        <f t="shared" si="2"/>
        <v>0.48776489872380291</v>
      </c>
      <c r="G95" s="29">
        <v>0.86</v>
      </c>
      <c r="H95" s="29">
        <v>6.38</v>
      </c>
      <c r="I95" s="31" t="s">
        <v>144</v>
      </c>
    </row>
    <row r="96" spans="1:9" x14ac:dyDescent="0.25">
      <c r="A96" s="36" t="s">
        <v>98</v>
      </c>
      <c r="B96" s="29">
        <v>1984</v>
      </c>
      <c r="C96" s="38">
        <v>14</v>
      </c>
      <c r="D96" s="29">
        <v>10</v>
      </c>
      <c r="E96" s="29">
        <v>48</v>
      </c>
      <c r="F96" s="30">
        <f t="shared" si="2"/>
        <v>0.45205479452054786</v>
      </c>
      <c r="G96" s="29">
        <v>0.86</v>
      </c>
      <c r="H96" s="29">
        <v>6.38</v>
      </c>
      <c r="I96" t="s">
        <v>201</v>
      </c>
    </row>
    <row r="97" spans="1:9" x14ac:dyDescent="0.25">
      <c r="A97" s="36" t="s">
        <v>97</v>
      </c>
      <c r="B97" s="29">
        <v>1984</v>
      </c>
      <c r="C97" s="38">
        <v>69</v>
      </c>
      <c r="D97" s="29">
        <v>30.7</v>
      </c>
      <c r="E97" s="29">
        <v>118</v>
      </c>
      <c r="F97" s="30">
        <f t="shared" si="2"/>
        <v>0.56122737346243645</v>
      </c>
      <c r="G97" s="29">
        <v>0.86</v>
      </c>
      <c r="H97" s="29">
        <v>6.38</v>
      </c>
      <c r="I97" t="s">
        <v>164</v>
      </c>
    </row>
    <row r="98" spans="1:9" x14ac:dyDescent="0.25">
      <c r="A98" s="32" t="s">
        <v>96</v>
      </c>
      <c r="B98" s="29">
        <v>1989</v>
      </c>
      <c r="C98" s="38">
        <v>300</v>
      </c>
      <c r="D98" s="29">
        <v>116</v>
      </c>
      <c r="E98" s="29">
        <v>400</v>
      </c>
      <c r="F98" s="30">
        <f t="shared" si="2"/>
        <v>0.60636120296016371</v>
      </c>
      <c r="G98" s="29"/>
      <c r="H98" s="29">
        <v>105</v>
      </c>
      <c r="I98" t="s">
        <v>157</v>
      </c>
    </row>
    <row r="99" spans="1:9" x14ac:dyDescent="0.25">
      <c r="A99" s="36" t="s">
        <v>94</v>
      </c>
      <c r="B99" s="29">
        <v>1995</v>
      </c>
      <c r="C99" s="38">
        <v>40</v>
      </c>
      <c r="D99" s="29">
        <v>54</v>
      </c>
      <c r="E99" s="29">
        <v>190</v>
      </c>
      <c r="F99" s="30">
        <f t="shared" si="2"/>
        <v>0.5983426348723152</v>
      </c>
      <c r="G99" s="29">
        <v>6.4</v>
      </c>
      <c r="H99" s="29"/>
      <c r="I99" t="s">
        <v>212</v>
      </c>
    </row>
    <row r="100" spans="1:9" x14ac:dyDescent="0.25">
      <c r="A100" s="36" t="s">
        <v>271</v>
      </c>
      <c r="B100" s="29">
        <v>2007</v>
      </c>
      <c r="C100" s="38">
        <v>0</v>
      </c>
      <c r="D100" s="29">
        <v>-54</v>
      </c>
      <c r="E100" s="29">
        <v>-190</v>
      </c>
      <c r="F100" s="30">
        <f t="shared" ref="F100:F131" si="3">1-IF(D100=0,0,E100/(8.76*D100))</f>
        <v>0.5983426348723152</v>
      </c>
      <c r="G100" s="29"/>
      <c r="H100" s="29"/>
      <c r="I100" t="s">
        <v>192</v>
      </c>
    </row>
    <row r="101" spans="1:9" x14ac:dyDescent="0.25">
      <c r="A101" s="36" t="s">
        <v>95</v>
      </c>
      <c r="B101" s="29">
        <v>1996</v>
      </c>
      <c r="C101" s="38">
        <v>16</v>
      </c>
      <c r="D101" s="29">
        <v>10</v>
      </c>
      <c r="E101" s="29">
        <v>54</v>
      </c>
      <c r="F101" s="30">
        <f t="shared" si="3"/>
        <v>0.38356164383561642</v>
      </c>
      <c r="G101" s="29">
        <v>6.4</v>
      </c>
      <c r="H101" s="29"/>
      <c r="I101" t="s">
        <v>234</v>
      </c>
    </row>
    <row r="102" spans="1:9" x14ac:dyDescent="0.25">
      <c r="A102" s="32" t="s">
        <v>86</v>
      </c>
      <c r="B102" s="29">
        <v>1996</v>
      </c>
      <c r="C102" s="38">
        <v>10.5</v>
      </c>
      <c r="D102" s="29">
        <v>3.65</v>
      </c>
      <c r="E102" s="29">
        <v>10</v>
      </c>
      <c r="F102" s="30">
        <f t="shared" si="3"/>
        <v>0.68724588728341773</v>
      </c>
      <c r="G102" s="29">
        <v>3</v>
      </c>
      <c r="H102" s="29">
        <v>60</v>
      </c>
      <c r="I102" t="s">
        <v>194</v>
      </c>
    </row>
    <row r="103" spans="1:9" x14ac:dyDescent="0.25">
      <c r="A103" s="34" t="s">
        <v>272</v>
      </c>
      <c r="B103" s="29">
        <v>2004</v>
      </c>
      <c r="C103" s="38">
        <v>13</v>
      </c>
      <c r="D103" s="29">
        <v>4.8</v>
      </c>
      <c r="E103" s="29">
        <v>13</v>
      </c>
      <c r="F103" s="30">
        <f t="shared" si="3"/>
        <v>0.69082952815829524</v>
      </c>
      <c r="G103" s="29">
        <v>3</v>
      </c>
      <c r="H103" s="29">
        <v>60</v>
      </c>
      <c r="I103" t="s">
        <v>200</v>
      </c>
    </row>
    <row r="104" spans="1:9" x14ac:dyDescent="0.25">
      <c r="A104" s="32" t="s">
        <v>87</v>
      </c>
      <c r="B104" s="29">
        <v>1996</v>
      </c>
      <c r="C104" s="38">
        <v>70</v>
      </c>
      <c r="D104" s="29">
        <v>69.599999999999994</v>
      </c>
      <c r="E104" s="29">
        <v>180</v>
      </c>
      <c r="F104" s="30">
        <f t="shared" si="3"/>
        <v>0.70477090222012273</v>
      </c>
      <c r="G104" s="29">
        <v>6.4</v>
      </c>
      <c r="H104" s="29"/>
      <c r="I104" s="31" t="s">
        <v>214</v>
      </c>
    </row>
    <row r="105" spans="1:9" x14ac:dyDescent="0.25">
      <c r="A105" s="32" t="s">
        <v>88</v>
      </c>
      <c r="B105" s="29">
        <v>1996</v>
      </c>
      <c r="C105" s="38">
        <v>140</v>
      </c>
      <c r="D105" s="29">
        <v>125</v>
      </c>
      <c r="E105" s="29">
        <v>600</v>
      </c>
      <c r="F105" s="30">
        <f t="shared" si="3"/>
        <v>0.45205479452054798</v>
      </c>
      <c r="G105" s="29">
        <v>4.25</v>
      </c>
      <c r="H105" s="29">
        <v>35</v>
      </c>
      <c r="I105" t="s">
        <v>168</v>
      </c>
    </row>
    <row r="106" spans="1:9" x14ac:dyDescent="0.25">
      <c r="A106" s="32" t="s">
        <v>273</v>
      </c>
      <c r="B106" s="29">
        <v>2007</v>
      </c>
      <c r="C106" s="38">
        <v>54</v>
      </c>
      <c r="D106" s="29">
        <v>45</v>
      </c>
      <c r="E106" s="29">
        <f>850-E105</f>
        <v>250</v>
      </c>
      <c r="F106" s="30">
        <f t="shared" si="3"/>
        <v>0.36580416032470831</v>
      </c>
      <c r="G106" s="29">
        <v>8</v>
      </c>
      <c r="H106" s="29">
        <v>16</v>
      </c>
      <c r="I106" t="s">
        <v>169</v>
      </c>
    </row>
    <row r="107" spans="1:9" x14ac:dyDescent="0.25">
      <c r="A107" s="32" t="s">
        <v>89</v>
      </c>
      <c r="B107" s="29">
        <v>1987</v>
      </c>
      <c r="C107" s="38">
        <v>21</v>
      </c>
      <c r="D107" s="29">
        <v>38</v>
      </c>
      <c r="E107" s="29">
        <v>190</v>
      </c>
      <c r="F107" s="30">
        <f t="shared" si="3"/>
        <v>0.42922374429223742</v>
      </c>
      <c r="G107" s="29">
        <v>8.1999999999999993</v>
      </c>
      <c r="H107" s="29">
        <v>60</v>
      </c>
      <c r="I107" t="s">
        <v>231</v>
      </c>
    </row>
    <row r="108" spans="1:9" x14ac:dyDescent="0.25">
      <c r="A108" s="32" t="s">
        <v>274</v>
      </c>
      <c r="B108" s="29">
        <v>1997</v>
      </c>
      <c r="C108" s="38">
        <v>57</v>
      </c>
      <c r="D108" s="29">
        <f>112-D107</f>
        <v>74</v>
      </c>
      <c r="E108" s="29">
        <f>550-E107</f>
        <v>360</v>
      </c>
      <c r="F108" s="30">
        <f t="shared" si="3"/>
        <v>0.44465012958163641</v>
      </c>
      <c r="G108" s="29">
        <v>8.1999999999999993</v>
      </c>
      <c r="H108" s="29">
        <v>60</v>
      </c>
      <c r="I108" t="s">
        <v>232</v>
      </c>
    </row>
    <row r="109" spans="1:9" x14ac:dyDescent="0.25">
      <c r="A109" s="32" t="s">
        <v>90</v>
      </c>
      <c r="B109" s="29">
        <v>1997</v>
      </c>
      <c r="C109" s="38">
        <v>78</v>
      </c>
      <c r="D109" s="29">
        <v>55</v>
      </c>
      <c r="E109" s="29">
        <v>350</v>
      </c>
      <c r="F109" s="30">
        <f t="shared" si="3"/>
        <v>0.27355749273557495</v>
      </c>
      <c r="G109" s="29"/>
      <c r="H109" s="29">
        <v>105</v>
      </c>
      <c r="I109" s="31" t="s">
        <v>165</v>
      </c>
    </row>
    <row r="110" spans="1:9" x14ac:dyDescent="0.25">
      <c r="A110" s="32" t="s">
        <v>91</v>
      </c>
      <c r="B110" s="29">
        <v>1997</v>
      </c>
      <c r="C110" s="38">
        <v>50</v>
      </c>
      <c r="D110" s="29">
        <v>29</v>
      </c>
      <c r="E110" s="29">
        <v>240</v>
      </c>
      <c r="F110" s="30">
        <f t="shared" si="3"/>
        <v>5.5266887104392981E-2</v>
      </c>
      <c r="G110" s="29"/>
      <c r="H110" s="29">
        <v>105</v>
      </c>
      <c r="I110" t="s">
        <v>159</v>
      </c>
    </row>
    <row r="111" spans="1:9" x14ac:dyDescent="0.25">
      <c r="A111" s="32" t="s">
        <v>275</v>
      </c>
      <c r="B111" s="29">
        <v>2003</v>
      </c>
      <c r="C111" s="38">
        <v>20</v>
      </c>
      <c r="D111" s="29">
        <v>6</v>
      </c>
      <c r="E111" s="29">
        <v>50</v>
      </c>
      <c r="F111" s="30">
        <f t="shared" si="3"/>
        <v>4.8706240487062402E-2</v>
      </c>
      <c r="G111" s="29"/>
      <c r="H111" s="29">
        <v>105</v>
      </c>
      <c r="I111" t="s">
        <v>158</v>
      </c>
    </row>
    <row r="112" spans="1:9" x14ac:dyDescent="0.25">
      <c r="A112" s="32" t="s">
        <v>92</v>
      </c>
      <c r="B112" s="29">
        <v>1998</v>
      </c>
      <c r="C112" s="38">
        <v>25</v>
      </c>
      <c r="D112" s="29">
        <v>25</v>
      </c>
      <c r="E112" s="29">
        <v>130</v>
      </c>
      <c r="F112" s="30">
        <f t="shared" si="3"/>
        <v>0.40639269406392697</v>
      </c>
      <c r="G112" s="29">
        <v>4.25</v>
      </c>
      <c r="H112" s="29">
        <v>35</v>
      </c>
      <c r="I112" t="s">
        <v>234</v>
      </c>
    </row>
    <row r="113" spans="1:9" x14ac:dyDescent="0.25">
      <c r="A113" s="32" t="s">
        <v>93</v>
      </c>
      <c r="B113" s="29">
        <v>1998</v>
      </c>
      <c r="C113" s="38">
        <v>50</v>
      </c>
      <c r="D113" s="29">
        <v>28</v>
      </c>
      <c r="E113" s="29">
        <v>250</v>
      </c>
      <c r="F113" s="30">
        <f t="shared" si="3"/>
        <v>-1.924331376386168E-2</v>
      </c>
      <c r="G113" s="29">
        <v>8.1999999999999993</v>
      </c>
      <c r="H113" s="29">
        <v>60</v>
      </c>
      <c r="I113" s="31" t="s">
        <v>155</v>
      </c>
    </row>
    <row r="114" spans="1:9" x14ac:dyDescent="0.25">
      <c r="A114" s="37" t="s">
        <v>85</v>
      </c>
      <c r="B114" s="29">
        <v>1998</v>
      </c>
      <c r="C114" s="38">
        <v>40</v>
      </c>
      <c r="D114" s="29">
        <v>10</v>
      </c>
      <c r="E114" s="29">
        <v>80</v>
      </c>
      <c r="F114" s="30">
        <f t="shared" si="3"/>
        <v>8.6757990867579848E-2</v>
      </c>
      <c r="G114" s="29"/>
      <c r="H114" s="29">
        <v>105</v>
      </c>
      <c r="I114" t="s">
        <v>220</v>
      </c>
    </row>
    <row r="115" spans="1:9" x14ac:dyDescent="0.25">
      <c r="A115" s="37" t="s">
        <v>276</v>
      </c>
      <c r="B115" s="29">
        <v>2008</v>
      </c>
      <c r="C115" s="38">
        <v>77</v>
      </c>
      <c r="D115" s="29">
        <v>15</v>
      </c>
      <c r="E115" s="29">
        <v>120</v>
      </c>
      <c r="F115" s="30">
        <f t="shared" si="3"/>
        <v>8.6757990867579959E-2</v>
      </c>
      <c r="G115" s="29"/>
      <c r="H115" s="29">
        <v>105</v>
      </c>
      <c r="I115" t="s">
        <v>219</v>
      </c>
    </row>
    <row r="116" spans="1:9" x14ac:dyDescent="0.25">
      <c r="A116" s="36" t="s">
        <v>82</v>
      </c>
      <c r="B116" s="29">
        <v>1998</v>
      </c>
      <c r="C116" s="38">
        <v>400</v>
      </c>
      <c r="D116" s="29">
        <v>385</v>
      </c>
      <c r="E116" s="29">
        <v>2200</v>
      </c>
      <c r="F116" s="30">
        <f t="shared" si="3"/>
        <v>0.34768427919112854</v>
      </c>
      <c r="G116" s="29">
        <v>4.25</v>
      </c>
      <c r="H116" s="29">
        <v>35</v>
      </c>
      <c r="I116" s="31" t="s">
        <v>175</v>
      </c>
    </row>
    <row r="117" spans="1:9" x14ac:dyDescent="0.25">
      <c r="A117" s="36" t="s">
        <v>83</v>
      </c>
      <c r="B117" s="29">
        <v>1999</v>
      </c>
      <c r="C117" s="38">
        <v>30.5</v>
      </c>
      <c r="D117" s="29">
        <v>7.5</v>
      </c>
      <c r="E117" s="29">
        <v>21</v>
      </c>
      <c r="F117" s="30">
        <f t="shared" si="3"/>
        <v>0.68036529680365299</v>
      </c>
      <c r="G117" s="29">
        <v>0.86</v>
      </c>
      <c r="H117" s="29">
        <v>6.38</v>
      </c>
      <c r="I117" s="31" t="s">
        <v>193</v>
      </c>
    </row>
    <row r="118" spans="1:9" x14ac:dyDescent="0.25">
      <c r="A118" s="36" t="s">
        <v>277</v>
      </c>
      <c r="B118" s="29">
        <v>1999</v>
      </c>
      <c r="C118" s="38">
        <v>50</v>
      </c>
      <c r="D118" s="29">
        <v>31.7</v>
      </c>
      <c r="E118" s="29">
        <v>128</v>
      </c>
      <c r="F118" s="30">
        <f t="shared" si="3"/>
        <v>0.5390576610057185</v>
      </c>
      <c r="G118" s="29">
        <v>3</v>
      </c>
      <c r="H118" s="29">
        <v>60</v>
      </c>
      <c r="I118" t="s">
        <v>174</v>
      </c>
    </row>
    <row r="119" spans="1:9" x14ac:dyDescent="0.25">
      <c r="A119" s="36" t="s">
        <v>84</v>
      </c>
      <c r="B119" s="29">
        <v>1999</v>
      </c>
      <c r="C119" s="38">
        <v>34</v>
      </c>
      <c r="D119" s="29">
        <v>44</v>
      </c>
      <c r="E119" s="29">
        <v>200</v>
      </c>
      <c r="F119" s="30">
        <f t="shared" si="3"/>
        <v>0.48111249481112495</v>
      </c>
      <c r="G119" s="29">
        <v>4.2</v>
      </c>
      <c r="H119" s="29">
        <v>30</v>
      </c>
      <c r="I119" t="s">
        <v>212</v>
      </c>
    </row>
    <row r="120" spans="1:9" x14ac:dyDescent="0.25">
      <c r="A120" s="36" t="s">
        <v>106</v>
      </c>
      <c r="B120" s="29">
        <v>2000</v>
      </c>
      <c r="C120" s="38">
        <v>225</v>
      </c>
      <c r="D120" s="29">
        <v>55</v>
      </c>
      <c r="E120" s="29">
        <v>440</v>
      </c>
      <c r="F120" s="30">
        <f t="shared" si="3"/>
        <v>8.6757990867579959E-2</v>
      </c>
      <c r="G120" s="29"/>
      <c r="H120" s="29">
        <v>105</v>
      </c>
      <c r="I120" t="s">
        <v>221</v>
      </c>
    </row>
    <row r="121" spans="1:9" x14ac:dyDescent="0.25">
      <c r="A121" s="36" t="s">
        <v>278</v>
      </c>
      <c r="B121" s="29">
        <v>2005</v>
      </c>
      <c r="C121" s="38">
        <v>60</v>
      </c>
      <c r="D121" s="29">
        <v>40</v>
      </c>
      <c r="E121" s="29">
        <v>325</v>
      </c>
      <c r="F121" s="30">
        <f t="shared" si="3"/>
        <v>7.248858447488582E-2</v>
      </c>
      <c r="G121" s="29"/>
      <c r="H121" s="29">
        <v>105</v>
      </c>
      <c r="I121" s="31" t="s">
        <v>216</v>
      </c>
    </row>
    <row r="122" spans="1:9" x14ac:dyDescent="0.25">
      <c r="A122" s="36" t="s">
        <v>279</v>
      </c>
      <c r="B122" s="29">
        <v>2007</v>
      </c>
      <c r="C122" s="38">
        <v>15</v>
      </c>
      <c r="D122" s="29">
        <v>17</v>
      </c>
      <c r="E122" s="29">
        <v>140</v>
      </c>
      <c r="F122" s="30">
        <f t="shared" si="3"/>
        <v>5.9897931775449775E-2</v>
      </c>
      <c r="G122" s="29"/>
      <c r="H122" s="29">
        <v>105</v>
      </c>
      <c r="I122" t="s">
        <v>153</v>
      </c>
    </row>
    <row r="123" spans="1:9" x14ac:dyDescent="0.25">
      <c r="A123" s="36" t="s">
        <v>81</v>
      </c>
      <c r="B123" s="29">
        <v>2000</v>
      </c>
      <c r="C123" s="38">
        <v>456</v>
      </c>
      <c r="D123" s="29">
        <v>380</v>
      </c>
      <c r="E123" s="29">
        <v>2240</v>
      </c>
      <c r="F123" s="30">
        <f t="shared" si="3"/>
        <v>0.32708483537611144</v>
      </c>
      <c r="G123" s="29">
        <v>4.25</v>
      </c>
      <c r="H123" s="29">
        <v>35</v>
      </c>
      <c r="I123" t="s">
        <v>173</v>
      </c>
    </row>
    <row r="124" spans="1:9" x14ac:dyDescent="0.25">
      <c r="A124" s="36" t="s">
        <v>280</v>
      </c>
      <c r="B124" s="29">
        <v>2005</v>
      </c>
      <c r="C124" s="38">
        <v>30</v>
      </c>
      <c r="D124" s="29">
        <v>24</v>
      </c>
      <c r="E124" s="29">
        <v>140</v>
      </c>
      <c r="F124" s="30">
        <f t="shared" si="3"/>
        <v>0.33409436834094375</v>
      </c>
      <c r="G124" s="29">
        <v>4.25</v>
      </c>
      <c r="H124" s="29">
        <v>35</v>
      </c>
      <c r="I124" t="s">
        <v>173</v>
      </c>
    </row>
    <row r="125" spans="1:9" x14ac:dyDescent="0.25">
      <c r="A125" s="32" t="s">
        <v>61</v>
      </c>
      <c r="B125" s="29">
        <v>2007</v>
      </c>
      <c r="C125" s="38">
        <v>506</v>
      </c>
      <c r="D125" s="29">
        <v>400</v>
      </c>
      <c r="E125" s="29">
        <v>2410</v>
      </c>
      <c r="F125" s="30">
        <f t="shared" si="3"/>
        <v>0.31221461187214616</v>
      </c>
      <c r="G125" s="29">
        <v>4.25</v>
      </c>
      <c r="H125" s="29">
        <v>35</v>
      </c>
      <c r="I125" t="s">
        <v>206</v>
      </c>
    </row>
    <row r="126" spans="1:9" x14ac:dyDescent="0.25">
      <c r="A126" s="32" t="s">
        <v>62</v>
      </c>
      <c r="B126" s="29">
        <v>2004</v>
      </c>
      <c r="C126" s="38">
        <v>50</v>
      </c>
      <c r="D126" s="29">
        <v>48</v>
      </c>
      <c r="E126" s="29">
        <v>335</v>
      </c>
      <c r="F126" s="30">
        <f t="shared" si="3"/>
        <v>0.20329147640791478</v>
      </c>
      <c r="G126" s="29">
        <v>8</v>
      </c>
      <c r="H126" s="29">
        <v>16</v>
      </c>
      <c r="I126" t="s">
        <v>173</v>
      </c>
    </row>
    <row r="127" spans="1:9" x14ac:dyDescent="0.25">
      <c r="A127" s="36" t="s">
        <v>79</v>
      </c>
      <c r="B127" s="29">
        <v>2004</v>
      </c>
      <c r="C127" s="38">
        <v>55</v>
      </c>
      <c r="D127" s="29">
        <v>36.299999999999997</v>
      </c>
      <c r="E127" s="29">
        <v>147</v>
      </c>
      <c r="F127" s="30">
        <f t="shared" si="3"/>
        <v>0.53771840446809305</v>
      </c>
      <c r="G127" s="29">
        <v>3</v>
      </c>
      <c r="H127" s="29">
        <v>60</v>
      </c>
      <c r="I127" t="s">
        <v>174</v>
      </c>
    </row>
    <row r="128" spans="1:9" x14ac:dyDescent="0.25">
      <c r="A128" s="36" t="s">
        <v>80</v>
      </c>
      <c r="B128" s="29">
        <v>2004</v>
      </c>
      <c r="C128" s="38">
        <v>190</v>
      </c>
      <c r="D128" s="29">
        <v>90.75</v>
      </c>
      <c r="E128" s="29">
        <v>258</v>
      </c>
      <c r="F128" s="30">
        <f t="shared" si="3"/>
        <v>0.67545945130004914</v>
      </c>
      <c r="G128" s="29">
        <v>3</v>
      </c>
      <c r="H128" s="29">
        <v>60</v>
      </c>
      <c r="I128" t="s">
        <v>174</v>
      </c>
    </row>
    <row r="129" spans="1:9" x14ac:dyDescent="0.25">
      <c r="A129" s="36" t="s">
        <v>78</v>
      </c>
      <c r="B129" s="29">
        <v>2004</v>
      </c>
      <c r="C129" s="38">
        <v>150</v>
      </c>
      <c r="D129" s="29">
        <v>155</v>
      </c>
      <c r="E129" s="29">
        <v>9</v>
      </c>
      <c r="F129" s="30">
        <f t="shared" si="3"/>
        <v>0.99337163057887756</v>
      </c>
      <c r="G129" s="29">
        <v>9.6</v>
      </c>
      <c r="H129" s="29">
        <v>20</v>
      </c>
      <c r="I129" s="31" t="s">
        <v>182</v>
      </c>
    </row>
    <row r="130" spans="1:9" x14ac:dyDescent="0.25">
      <c r="A130" s="34" t="s">
        <v>77</v>
      </c>
      <c r="B130" s="29">
        <v>2005</v>
      </c>
      <c r="C130" s="38">
        <v>11</v>
      </c>
      <c r="D130" s="29">
        <v>12.8</v>
      </c>
      <c r="E130" s="29">
        <v>48</v>
      </c>
      <c r="F130" s="30">
        <f t="shared" si="3"/>
        <v>0.57191780821917804</v>
      </c>
      <c r="G130" s="29">
        <v>8.1999999999999993</v>
      </c>
      <c r="H130" s="29">
        <v>60</v>
      </c>
      <c r="I130" t="s">
        <v>230</v>
      </c>
    </row>
    <row r="131" spans="1:9" x14ac:dyDescent="0.25">
      <c r="A131" s="36" t="s">
        <v>75</v>
      </c>
      <c r="B131" s="29">
        <v>2007</v>
      </c>
      <c r="C131" s="38">
        <v>180</v>
      </c>
      <c r="D131" s="29">
        <v>93</v>
      </c>
      <c r="E131" s="29">
        <v>375</v>
      </c>
      <c r="F131" s="30">
        <f t="shared" si="3"/>
        <v>0.53969656797761079</v>
      </c>
      <c r="G131" s="29">
        <v>3</v>
      </c>
      <c r="H131" s="29">
        <v>60</v>
      </c>
      <c r="I131" t="s">
        <v>172</v>
      </c>
    </row>
    <row r="132" spans="1:9" x14ac:dyDescent="0.25">
      <c r="A132" s="36" t="s">
        <v>76</v>
      </c>
      <c r="B132" s="29">
        <v>2007</v>
      </c>
      <c r="C132" s="38">
        <v>100</v>
      </c>
      <c r="D132" s="29">
        <v>58</v>
      </c>
      <c r="E132" s="29">
        <v>200</v>
      </c>
      <c r="F132" s="30">
        <f t="shared" ref="F132:F157" si="4">1-IF(D132=0,0,E132/(8.76*D132))</f>
        <v>0.60636120296016371</v>
      </c>
      <c r="G132" s="29">
        <v>3</v>
      </c>
      <c r="H132" s="29">
        <v>60</v>
      </c>
      <c r="I132" s="35" t="s">
        <v>205</v>
      </c>
    </row>
    <row r="133" spans="1:9" x14ac:dyDescent="0.25">
      <c r="A133" s="34" t="s">
        <v>74</v>
      </c>
      <c r="B133" s="29">
        <v>2008</v>
      </c>
      <c r="C133" s="38">
        <v>300</v>
      </c>
      <c r="D133" s="29">
        <v>100</v>
      </c>
      <c r="E133" s="29">
        <v>800</v>
      </c>
      <c r="F133" s="30">
        <f t="shared" si="4"/>
        <v>8.6757990867579959E-2</v>
      </c>
      <c r="G133" s="29"/>
      <c r="H133" s="29">
        <v>105</v>
      </c>
      <c r="I133" s="31" t="s">
        <v>204</v>
      </c>
    </row>
    <row r="134" spans="1:9" x14ac:dyDescent="0.25">
      <c r="A134" s="34" t="s">
        <v>73</v>
      </c>
      <c r="B134" s="29">
        <v>2009</v>
      </c>
      <c r="C134" s="38">
        <v>430</v>
      </c>
      <c r="D134" s="29">
        <v>143</v>
      </c>
      <c r="E134" s="29">
        <v>550</v>
      </c>
      <c r="F134" s="30">
        <f t="shared" si="4"/>
        <v>0.5609413417632596</v>
      </c>
      <c r="G134" s="29">
        <v>3</v>
      </c>
      <c r="H134" s="29">
        <v>60</v>
      </c>
      <c r="I134" s="31" t="s">
        <v>180</v>
      </c>
    </row>
    <row r="135" spans="1:9" x14ac:dyDescent="0.25">
      <c r="A135" s="34" t="s">
        <v>72</v>
      </c>
      <c r="B135" s="29">
        <v>2010</v>
      </c>
      <c r="C135" s="38">
        <v>430</v>
      </c>
      <c r="D135" s="29">
        <v>140</v>
      </c>
      <c r="E135" s="29">
        <v>1100</v>
      </c>
      <c r="F135" s="30">
        <f t="shared" si="4"/>
        <v>0.10306588388780158</v>
      </c>
      <c r="G135" s="29"/>
      <c r="H135" s="29">
        <v>105</v>
      </c>
      <c r="I135" s="31" t="s">
        <v>204</v>
      </c>
    </row>
    <row r="136" spans="1:9" x14ac:dyDescent="0.25">
      <c r="A136" s="34" t="s">
        <v>71</v>
      </c>
      <c r="B136" s="29">
        <v>2010</v>
      </c>
      <c r="C136" s="38">
        <v>100</v>
      </c>
      <c r="D136" s="29">
        <v>23</v>
      </c>
      <c r="E136" s="29">
        <v>190</v>
      </c>
      <c r="F136" s="30">
        <f t="shared" si="4"/>
        <v>5.6978360135000905E-2</v>
      </c>
      <c r="G136" s="29"/>
      <c r="H136" s="29">
        <v>105</v>
      </c>
      <c r="I136" s="31" t="s">
        <v>171</v>
      </c>
    </row>
    <row r="137" spans="1:9" x14ac:dyDescent="0.25">
      <c r="A137" s="32" t="s">
        <v>68</v>
      </c>
      <c r="B137" s="29">
        <v>2011</v>
      </c>
      <c r="C137" s="38">
        <v>75</v>
      </c>
      <c r="D137" s="29">
        <v>36</v>
      </c>
      <c r="E137" s="29">
        <v>112</v>
      </c>
      <c r="F137" s="30">
        <f t="shared" si="4"/>
        <v>0.64485032978183665</v>
      </c>
      <c r="G137" s="29">
        <v>3</v>
      </c>
      <c r="H137" s="29">
        <v>70</v>
      </c>
      <c r="I137" s="31" t="s">
        <v>203</v>
      </c>
    </row>
    <row r="138" spans="1:9" x14ac:dyDescent="0.25">
      <c r="A138" s="32" t="s">
        <v>69</v>
      </c>
      <c r="B138" s="29">
        <v>2011</v>
      </c>
      <c r="C138" s="38">
        <v>10.8</v>
      </c>
      <c r="D138" s="29">
        <v>9</v>
      </c>
      <c r="E138" s="29">
        <v>0.1</v>
      </c>
      <c r="F138" s="30">
        <f t="shared" si="4"/>
        <v>0.99873160832064944</v>
      </c>
      <c r="G138" s="29">
        <v>9.6</v>
      </c>
      <c r="H138" s="29">
        <v>20</v>
      </c>
      <c r="I138" t="s">
        <v>195</v>
      </c>
    </row>
    <row r="139" spans="1:9" x14ac:dyDescent="0.25">
      <c r="A139" s="32" t="s">
        <v>70</v>
      </c>
      <c r="B139" s="29">
        <v>2011</v>
      </c>
      <c r="C139" s="38">
        <v>17</v>
      </c>
      <c r="D139" s="29">
        <v>7.65</v>
      </c>
      <c r="E139" s="29">
        <v>25.6</v>
      </c>
      <c r="F139" s="30">
        <f t="shared" si="4"/>
        <v>0.61799027068970658</v>
      </c>
      <c r="G139" s="29">
        <v>3</v>
      </c>
      <c r="H139" s="29">
        <v>60</v>
      </c>
      <c r="I139" s="31" t="s">
        <v>202</v>
      </c>
    </row>
    <row r="140" spans="1:9" x14ac:dyDescent="0.25">
      <c r="A140" s="34" t="s">
        <v>65</v>
      </c>
      <c r="B140" s="29">
        <v>2011</v>
      </c>
      <c r="C140" s="38">
        <v>250</v>
      </c>
      <c r="D140" s="29">
        <v>200</v>
      </c>
      <c r="E140" s="29">
        <v>350</v>
      </c>
      <c r="F140" s="30">
        <f t="shared" si="4"/>
        <v>0.80022831050228316</v>
      </c>
      <c r="G140" s="29">
        <v>8</v>
      </c>
      <c r="H140" s="29">
        <v>16</v>
      </c>
      <c r="I140" t="s">
        <v>171</v>
      </c>
    </row>
    <row r="141" spans="1:9" x14ac:dyDescent="0.25">
      <c r="A141" s="36" t="s">
        <v>66</v>
      </c>
      <c r="B141" s="29">
        <v>2011</v>
      </c>
      <c r="C141" s="38">
        <v>80</v>
      </c>
      <c r="D141" s="29">
        <v>48.5</v>
      </c>
      <c r="E141" s="29">
        <v>160</v>
      </c>
      <c r="F141" s="30">
        <f t="shared" si="4"/>
        <v>0.62340535705879585</v>
      </c>
      <c r="G141" s="29">
        <v>3</v>
      </c>
      <c r="H141" s="29">
        <v>70</v>
      </c>
      <c r="I141" s="31" t="s">
        <v>176</v>
      </c>
    </row>
    <row r="142" spans="1:9" x14ac:dyDescent="0.25">
      <c r="A142" s="34" t="s">
        <v>67</v>
      </c>
      <c r="B142" s="29">
        <v>2011</v>
      </c>
      <c r="C142" s="38">
        <v>200</v>
      </c>
      <c r="D142" s="29">
        <v>64.400000000000006</v>
      </c>
      <c r="E142" s="29">
        <v>225</v>
      </c>
      <c r="F142" s="30">
        <f t="shared" si="4"/>
        <v>0.60116565983153236</v>
      </c>
      <c r="G142" s="29">
        <v>3</v>
      </c>
      <c r="H142" s="29">
        <v>60</v>
      </c>
      <c r="I142" s="31" t="s">
        <v>177</v>
      </c>
    </row>
    <row r="143" spans="1:9" x14ac:dyDescent="0.25">
      <c r="A143" s="34" t="s">
        <v>64</v>
      </c>
      <c r="B143" s="29">
        <v>2012</v>
      </c>
      <c r="C143" s="38">
        <v>42</v>
      </c>
      <c r="D143" s="29">
        <v>25</v>
      </c>
      <c r="E143" s="29">
        <v>210</v>
      </c>
      <c r="F143" s="30">
        <f t="shared" si="4"/>
        <v>4.1095890410958957E-2</v>
      </c>
      <c r="G143" s="29"/>
      <c r="H143" s="29">
        <v>105</v>
      </c>
      <c r="I143" s="31" t="s">
        <v>202</v>
      </c>
    </row>
    <row r="144" spans="1:9" x14ac:dyDescent="0.25">
      <c r="A144" s="36" t="s">
        <v>63</v>
      </c>
      <c r="B144" s="29">
        <v>2013</v>
      </c>
      <c r="C144" s="38">
        <v>466</v>
      </c>
      <c r="D144" s="29">
        <v>82</v>
      </c>
      <c r="E144" s="29">
        <v>670</v>
      </c>
      <c r="F144" s="30">
        <f t="shared" si="4"/>
        <v>6.7268069940973341E-2</v>
      </c>
      <c r="G144" s="29"/>
      <c r="H144" s="29">
        <v>105</v>
      </c>
      <c r="I144" s="31" t="s">
        <v>154</v>
      </c>
    </row>
    <row r="145" spans="1:9" x14ac:dyDescent="0.25">
      <c r="A145" s="34" t="s">
        <v>152</v>
      </c>
      <c r="B145" s="29">
        <v>2013</v>
      </c>
      <c r="C145" s="38">
        <v>100</v>
      </c>
      <c r="D145" s="29">
        <v>102</v>
      </c>
      <c r="E145" s="29">
        <v>300</v>
      </c>
      <c r="F145" s="30">
        <f t="shared" si="4"/>
        <v>0.66424926134837503</v>
      </c>
      <c r="G145" s="29">
        <v>9.6</v>
      </c>
      <c r="H145" s="29">
        <v>20</v>
      </c>
      <c r="I145" t="s">
        <v>181</v>
      </c>
    </row>
    <row r="146" spans="1:9" x14ac:dyDescent="0.25">
      <c r="A146" s="32" t="s">
        <v>186</v>
      </c>
      <c r="B146" s="29">
        <v>1907</v>
      </c>
      <c r="C146" s="38">
        <v>7.0000000000000007E-2</v>
      </c>
      <c r="D146" s="29">
        <v>2</v>
      </c>
      <c r="E146" s="29">
        <v>5</v>
      </c>
      <c r="F146" s="30">
        <f t="shared" si="4"/>
        <v>0.71461187214611877</v>
      </c>
      <c r="G146" s="29">
        <v>0.86</v>
      </c>
      <c r="H146" s="29">
        <v>6.38</v>
      </c>
      <c r="I146" t="s">
        <v>223</v>
      </c>
    </row>
    <row r="147" spans="1:9" x14ac:dyDescent="0.25">
      <c r="A147" s="32" t="s">
        <v>281</v>
      </c>
      <c r="B147" s="32">
        <v>1913</v>
      </c>
      <c r="C147" s="38">
        <v>0.14000000000000001</v>
      </c>
      <c r="D147" s="29">
        <v>4</v>
      </c>
      <c r="E147" s="29">
        <v>10</v>
      </c>
      <c r="F147" s="30">
        <f t="shared" si="4"/>
        <v>0.71461187214611877</v>
      </c>
      <c r="G147" s="29">
        <v>0.86</v>
      </c>
      <c r="H147" s="29">
        <v>6.38</v>
      </c>
      <c r="I147" t="s">
        <v>187</v>
      </c>
    </row>
    <row r="148" spans="1:9" x14ac:dyDescent="0.25">
      <c r="A148" s="32" t="s">
        <v>290</v>
      </c>
      <c r="B148" s="32">
        <v>1922</v>
      </c>
      <c r="C148" s="38">
        <v>0</v>
      </c>
      <c r="D148" s="29">
        <v>-6</v>
      </c>
      <c r="E148" s="29">
        <v>-15</v>
      </c>
      <c r="F148" s="30">
        <f t="shared" si="4"/>
        <v>0.71461187214611877</v>
      </c>
      <c r="G148" s="29"/>
      <c r="H148" s="29"/>
      <c r="I148" t="s">
        <v>291</v>
      </c>
    </row>
    <row r="149" spans="1:9" x14ac:dyDescent="0.25">
      <c r="A149" s="32" t="s">
        <v>282</v>
      </c>
      <c r="B149" s="32">
        <v>1922</v>
      </c>
      <c r="C149" s="38">
        <v>0.72</v>
      </c>
      <c r="D149" s="29">
        <v>21.8</v>
      </c>
      <c r="E149" s="29">
        <v>50</v>
      </c>
      <c r="F149" s="30">
        <f t="shared" si="4"/>
        <v>0.73817602949185201</v>
      </c>
      <c r="G149" s="29">
        <v>0.86</v>
      </c>
      <c r="H149" s="29">
        <v>6.38</v>
      </c>
      <c r="I149" t="s">
        <v>292</v>
      </c>
    </row>
    <row r="150" spans="1:9" x14ac:dyDescent="0.25">
      <c r="A150" s="29" t="s">
        <v>283</v>
      </c>
      <c r="B150" s="32">
        <v>1929</v>
      </c>
      <c r="C150" s="38">
        <v>0.13</v>
      </c>
      <c r="D150" s="29">
        <v>4</v>
      </c>
      <c r="E150" s="29">
        <v>10</v>
      </c>
      <c r="F150" s="30">
        <f t="shared" si="4"/>
        <v>0.71461187214611877</v>
      </c>
      <c r="G150" s="29">
        <v>0.86</v>
      </c>
      <c r="H150" s="29">
        <v>6.38</v>
      </c>
      <c r="I150" t="s">
        <v>289</v>
      </c>
    </row>
    <row r="151" spans="1:9" x14ac:dyDescent="0.25">
      <c r="A151" s="29" t="s">
        <v>284</v>
      </c>
      <c r="B151" s="32">
        <v>1946</v>
      </c>
      <c r="C151" s="38">
        <v>0.11</v>
      </c>
      <c r="D151" s="29">
        <v>3</v>
      </c>
      <c r="E151" s="29">
        <v>7.5</v>
      </c>
      <c r="F151" s="30">
        <f t="shared" si="4"/>
        <v>0.71461187214611877</v>
      </c>
      <c r="G151" s="29">
        <v>0.86</v>
      </c>
      <c r="H151" s="29">
        <v>6.38</v>
      </c>
      <c r="I151" t="s">
        <v>295</v>
      </c>
    </row>
    <row r="152" spans="1:9" x14ac:dyDescent="0.25">
      <c r="A152" s="29" t="s">
        <v>285</v>
      </c>
      <c r="B152" s="32">
        <v>1955</v>
      </c>
      <c r="C152" s="38">
        <v>0.82</v>
      </c>
      <c r="D152" s="29">
        <f>7.2+6.4</f>
        <v>13.600000000000001</v>
      </c>
      <c r="E152" s="29">
        <v>31</v>
      </c>
      <c r="F152" s="30">
        <f t="shared" si="4"/>
        <v>0.73979317754499063</v>
      </c>
      <c r="G152" s="29">
        <v>0.86</v>
      </c>
      <c r="H152" s="29">
        <v>6.38</v>
      </c>
      <c r="I152" t="s">
        <v>191</v>
      </c>
    </row>
    <row r="153" spans="1:9" x14ac:dyDescent="0.25">
      <c r="A153" s="29" t="s">
        <v>286</v>
      </c>
      <c r="B153" s="32">
        <v>1968</v>
      </c>
      <c r="C153" s="38">
        <v>1.6</v>
      </c>
      <c r="D153" s="29">
        <v>18</v>
      </c>
      <c r="E153" s="29">
        <v>45</v>
      </c>
      <c r="F153" s="30">
        <f t="shared" si="4"/>
        <v>0.71461187214611877</v>
      </c>
      <c r="G153" s="29">
        <v>0.86</v>
      </c>
      <c r="H153" s="29">
        <v>6.38</v>
      </c>
      <c r="I153" t="s">
        <v>188</v>
      </c>
    </row>
    <row r="154" spans="1:9" x14ac:dyDescent="0.25">
      <c r="A154" s="29" t="s">
        <v>287</v>
      </c>
      <c r="B154" s="32">
        <v>1976</v>
      </c>
      <c r="C154" s="38">
        <v>6.56</v>
      </c>
      <c r="D154" s="29">
        <v>36</v>
      </c>
      <c r="E154" s="29">
        <v>90</v>
      </c>
      <c r="F154" s="30">
        <f t="shared" si="4"/>
        <v>0.71461187214611877</v>
      </c>
      <c r="G154" s="29">
        <v>0.86</v>
      </c>
      <c r="H154" s="29">
        <v>6.38</v>
      </c>
      <c r="I154" t="s">
        <v>190</v>
      </c>
    </row>
    <row r="155" spans="1:9" x14ac:dyDescent="0.25">
      <c r="A155" s="29" t="s">
        <v>293</v>
      </c>
      <c r="B155" s="32">
        <v>1980</v>
      </c>
      <c r="C155" s="38">
        <v>0</v>
      </c>
      <c r="D155" s="29">
        <v>-21.8</v>
      </c>
      <c r="E155" s="29">
        <v>-50</v>
      </c>
      <c r="F155" s="30">
        <f t="shared" si="4"/>
        <v>0.73817602949185201</v>
      </c>
      <c r="G155" s="29"/>
      <c r="H155" s="29"/>
      <c r="I155" t="s">
        <v>189</v>
      </c>
    </row>
    <row r="156" spans="1:9" x14ac:dyDescent="0.25">
      <c r="A156" s="29" t="s">
        <v>294</v>
      </c>
      <c r="B156" s="32">
        <v>1983</v>
      </c>
      <c r="C156" s="38">
        <v>0</v>
      </c>
      <c r="D156" s="29">
        <v>-7</v>
      </c>
      <c r="E156" s="29">
        <v>-17.5</v>
      </c>
      <c r="F156" s="30">
        <f t="shared" si="4"/>
        <v>0.71461187214611877</v>
      </c>
      <c r="G156" s="29"/>
      <c r="H156" s="29"/>
      <c r="I156" t="s">
        <v>296</v>
      </c>
    </row>
    <row r="157" spans="1:9" x14ac:dyDescent="0.25">
      <c r="A157" s="29" t="s">
        <v>288</v>
      </c>
      <c r="B157" s="32">
        <v>1983</v>
      </c>
      <c r="C157" s="38">
        <v>4.6500000000000004</v>
      </c>
      <c r="D157" s="29">
        <v>10</v>
      </c>
      <c r="E157" s="29">
        <v>23</v>
      </c>
      <c r="F157" s="30">
        <f t="shared" si="4"/>
        <v>0.73744292237442921</v>
      </c>
      <c r="G157" s="29">
        <v>0.86</v>
      </c>
      <c r="H157" s="29">
        <v>6.38</v>
      </c>
      <c r="I157" t="s">
        <v>297</v>
      </c>
    </row>
  </sheetData>
  <hyperlinks>
    <hyperlink ref="I37" r:id="rId1" display="http://www.odt.co.nz/the-regions/north-otago/29502/benmore-gets-more-with-first-full-rebuild"/>
    <hyperlink ref="I95" r:id="rId2"/>
    <hyperlink ref="I90" r:id="rId3"/>
    <hyperlink ref="I121" r:id="rId4" display="http://www.power-technology.com/projects/mokai/"/>
    <hyperlink ref="I144" r:id="rId5"/>
    <hyperlink ref="I113" r:id="rId6"/>
    <hyperlink ref="I92" r:id="rId7"/>
    <hyperlink ref="I109" r:id="rId8"/>
    <hyperlink ref="I116" r:id="rId9"/>
    <hyperlink ref="I136" r:id="rId10"/>
    <hyperlink ref="I141" r:id="rId11"/>
    <hyperlink ref="I142" r:id="rId12"/>
    <hyperlink ref="I134" r:id="rId13"/>
    <hyperlink ref="I129" r:id="rId14"/>
    <hyperlink ref="I117" r:id="rId15"/>
    <hyperlink ref="I143" r:id="rId16"/>
    <hyperlink ref="I139" r:id="rId17"/>
    <hyperlink ref="I137" r:id="rId18"/>
    <hyperlink ref="I132" r:id="rId19"/>
    <hyperlink ref="I133" r:id="rId20"/>
    <hyperlink ref="I104" r:id="rId21"/>
    <hyperlink ref="I114" r:id="rId22" display="http://www.encyclopedia.com/doc/1G2-2690300084.html. Assuming 0.6 =  US/NZ"/>
  </hyperlinks>
  <pageMargins left="0.7" right="0.7" top="0.75" bottom="0.75" header="0.3" footer="0.3"/>
  <pageSetup paperSize="9" scale="54" fitToHeight="0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workbookViewId="0"/>
  </sheetViews>
  <sheetFormatPr defaultRowHeight="12.75" x14ac:dyDescent="0.2"/>
  <cols>
    <col min="1" max="1" width="9.140625" style="2"/>
    <col min="2" max="2" width="37.28515625" style="2" customWidth="1"/>
    <col min="3" max="3" width="10.85546875" style="2" customWidth="1"/>
    <col min="4" max="4" width="11.28515625" style="2" customWidth="1"/>
    <col min="5" max="5" width="17.85546875" style="2" customWidth="1"/>
    <col min="6" max="6" width="9.140625" style="2"/>
    <col min="7" max="7" width="10.5703125" style="2" bestFit="1" customWidth="1"/>
    <col min="8" max="8" width="9.140625" style="2"/>
    <col min="9" max="9" width="11.85546875" style="2" customWidth="1"/>
    <col min="10" max="12" width="9.140625" style="2"/>
    <col min="13" max="13" width="18.42578125" style="2" customWidth="1"/>
    <col min="14" max="16384" width="9.140625" style="2"/>
  </cols>
  <sheetData>
    <row r="1" spans="1:9" ht="18" x14ac:dyDescent="0.25">
      <c r="A1" s="19" t="s">
        <v>123</v>
      </c>
      <c r="D1" s="2" t="s">
        <v>122</v>
      </c>
      <c r="G1" s="21">
        <v>2013</v>
      </c>
    </row>
    <row r="2" spans="1:9" x14ac:dyDescent="0.2">
      <c r="D2" s="2" t="s">
        <v>319</v>
      </c>
      <c r="G2" s="57">
        <f>VLOOKUP(G1,CPI,2,FALSE)</f>
        <v>1020.8695652173914</v>
      </c>
    </row>
    <row r="3" spans="1:9" x14ac:dyDescent="0.2">
      <c r="B3" s="50" t="s">
        <v>308</v>
      </c>
    </row>
    <row r="4" spans="1:9" x14ac:dyDescent="0.2">
      <c r="G4" s="39"/>
    </row>
    <row r="5" spans="1:9" x14ac:dyDescent="0.2">
      <c r="B5" s="40" t="s">
        <v>119</v>
      </c>
      <c r="C5" s="40" t="s">
        <v>120</v>
      </c>
      <c r="D5" s="40" t="s">
        <v>303</v>
      </c>
      <c r="E5" s="40" t="s">
        <v>318</v>
      </c>
      <c r="F5" s="40" t="s">
        <v>305</v>
      </c>
      <c r="G5" s="40" t="s">
        <v>304</v>
      </c>
      <c r="H5" s="40" t="s">
        <v>307</v>
      </c>
      <c r="I5" s="40" t="s">
        <v>306</v>
      </c>
    </row>
    <row r="6" spans="1:9" x14ac:dyDescent="0.2">
      <c r="B6" s="41" t="str">
        <f>BuildSchedule!A48</f>
        <v>Lake Coleridge</v>
      </c>
      <c r="C6" s="41">
        <f>BuildSchedule!B48</f>
        <v>1914</v>
      </c>
      <c r="D6" s="44">
        <f>BuildSchedule!C48</f>
        <v>0.2</v>
      </c>
      <c r="E6" s="58">
        <f t="shared" ref="E6:E68" si="0">VLOOKUP(C6,CPI,2,TRUE)</f>
        <v>27</v>
      </c>
      <c r="F6" s="47">
        <f t="shared" ref="F6:F68" si="1">G$2/E6</f>
        <v>37.809983896940423</v>
      </c>
      <c r="G6" s="47">
        <f t="shared" ref="G6:G68" si="2">F6*D6</f>
        <v>7.5619967793880853</v>
      </c>
      <c r="H6" s="41">
        <f>BuildSchedule!D48</f>
        <v>4.5</v>
      </c>
      <c r="I6" s="41">
        <f>BuildSchedule!E48</f>
        <v>25</v>
      </c>
    </row>
    <row r="7" spans="1:9" x14ac:dyDescent="0.2">
      <c r="B7" s="42" t="str">
        <f>BuildSchedule!A49</f>
        <v>Lake Coleridge Stage 2</v>
      </c>
      <c r="C7" s="42">
        <f>BuildSchedule!B49</f>
        <v>1917</v>
      </c>
      <c r="D7" s="45">
        <f>BuildSchedule!C49</f>
        <v>0.1</v>
      </c>
      <c r="E7" s="59">
        <f t="shared" si="0"/>
        <v>27</v>
      </c>
      <c r="F7" s="48">
        <f t="shared" si="1"/>
        <v>37.809983896940423</v>
      </c>
      <c r="G7" s="48">
        <f t="shared" si="2"/>
        <v>3.7809983896940427</v>
      </c>
      <c r="H7" s="42">
        <f>BuildSchedule!D49</f>
        <v>1.5</v>
      </c>
      <c r="I7" s="42">
        <f>BuildSchedule!E49</f>
        <v>8</v>
      </c>
    </row>
    <row r="8" spans="1:9" x14ac:dyDescent="0.2">
      <c r="B8" s="42" t="str">
        <f>BuildSchedule!A41</f>
        <v>Lake Wakatipu control</v>
      </c>
      <c r="C8" s="42">
        <f>BuildSchedule!B41</f>
        <v>1920</v>
      </c>
      <c r="D8" s="45">
        <f>BuildSchedule!C41</f>
        <v>2.2369999999999998E-3</v>
      </c>
      <c r="E8" s="59">
        <f t="shared" si="0"/>
        <v>27</v>
      </c>
      <c r="F8" s="48">
        <f t="shared" si="1"/>
        <v>37.809983896940423</v>
      </c>
      <c r="G8" s="48">
        <f t="shared" si="2"/>
        <v>8.4580933977455725E-2</v>
      </c>
      <c r="H8" s="42">
        <f>BuildSchedule!D41</f>
        <v>0.1</v>
      </c>
      <c r="I8" s="42">
        <f>BuildSchedule!E41</f>
        <v>0.1</v>
      </c>
    </row>
    <row r="9" spans="1:9" x14ac:dyDescent="0.2">
      <c r="B9" s="42" t="str">
        <f>BuildSchedule!A50</f>
        <v>Lake Coleridge Stage 3</v>
      </c>
      <c r="C9" s="42">
        <f>BuildSchedule!B50</f>
        <v>1923</v>
      </c>
      <c r="D9" s="45">
        <f>BuildSchedule!C50</f>
        <v>0.3</v>
      </c>
      <c r="E9" s="59">
        <f t="shared" si="0"/>
        <v>25</v>
      </c>
      <c r="F9" s="48">
        <f t="shared" si="1"/>
        <v>40.834782608695654</v>
      </c>
      <c r="G9" s="48">
        <f t="shared" si="2"/>
        <v>12.250434782608696</v>
      </c>
      <c r="H9" s="42">
        <f>BuildSchedule!D50</f>
        <v>6</v>
      </c>
      <c r="I9" s="42">
        <f>BuildSchedule!E50</f>
        <v>30</v>
      </c>
    </row>
    <row r="10" spans="1:9" x14ac:dyDescent="0.2">
      <c r="B10" s="42" t="str">
        <f>BuildSchedule!A29</f>
        <v>Mangahao</v>
      </c>
      <c r="C10" s="42">
        <f>BuildSchedule!B29</f>
        <v>1924</v>
      </c>
      <c r="D10" s="45">
        <f>BuildSchedule!C29</f>
        <v>3.5696119999999998</v>
      </c>
      <c r="E10" s="59">
        <f t="shared" si="0"/>
        <v>26</v>
      </c>
      <c r="F10" s="48">
        <f t="shared" si="1"/>
        <v>39.264214046822744</v>
      </c>
      <c r="G10" s="48">
        <f t="shared" si="2"/>
        <v>140.15800963210702</v>
      </c>
      <c r="H10" s="42">
        <f>BuildSchedule!D29</f>
        <v>19.2</v>
      </c>
      <c r="I10" s="42">
        <f>BuildSchedule!E29</f>
        <v>100</v>
      </c>
    </row>
    <row r="11" spans="1:9" x14ac:dyDescent="0.2">
      <c r="B11" s="42" t="str">
        <f>BuildSchedule!A62</f>
        <v>Monowai</v>
      </c>
      <c r="C11" s="42">
        <f>BuildSchedule!B62</f>
        <v>1925</v>
      </c>
      <c r="D11" s="45">
        <f>BuildSchedule!C62</f>
        <v>0.76555899999999999</v>
      </c>
      <c r="E11" s="59">
        <f t="shared" si="0"/>
        <v>25</v>
      </c>
      <c r="F11" s="48">
        <f t="shared" si="1"/>
        <v>40.834782608695654</v>
      </c>
      <c r="G11" s="48">
        <f t="shared" si="2"/>
        <v>31.261435339130436</v>
      </c>
      <c r="H11" s="42">
        <f>BuildSchedule!D62</f>
        <v>6</v>
      </c>
      <c r="I11" s="42">
        <f>BuildSchedule!E62</f>
        <v>40</v>
      </c>
    </row>
    <row r="12" spans="1:9" x14ac:dyDescent="0.2">
      <c r="B12" s="42" t="str">
        <f>BuildSchedule!A51</f>
        <v>Lake Coleridge Stage 4</v>
      </c>
      <c r="C12" s="42">
        <f>BuildSchedule!B51</f>
        <v>1926</v>
      </c>
      <c r="D12" s="45">
        <f>BuildSchedule!C51</f>
        <v>0.8</v>
      </c>
      <c r="E12" s="59">
        <f t="shared" si="0"/>
        <v>26</v>
      </c>
      <c r="F12" s="48">
        <f t="shared" si="1"/>
        <v>39.264214046822744</v>
      </c>
      <c r="G12" s="48">
        <f t="shared" si="2"/>
        <v>31.411371237458198</v>
      </c>
      <c r="H12" s="42">
        <f>BuildSchedule!D51</f>
        <v>15</v>
      </c>
      <c r="I12" s="42">
        <f>BuildSchedule!E51</f>
        <v>40</v>
      </c>
    </row>
    <row r="13" spans="1:9" x14ac:dyDescent="0.2">
      <c r="B13" s="42" t="str">
        <f>BuildSchedule!A26</f>
        <v>Tuai</v>
      </c>
      <c r="C13" s="42">
        <f>BuildSchedule!B26</f>
        <v>1929</v>
      </c>
      <c r="D13" s="45">
        <f>BuildSchedule!C26</f>
        <v>1.409494</v>
      </c>
      <c r="E13" s="59">
        <f t="shared" si="0"/>
        <v>25</v>
      </c>
      <c r="F13" s="48">
        <f t="shared" si="1"/>
        <v>40.834782608695654</v>
      </c>
      <c r="G13" s="48">
        <f t="shared" si="2"/>
        <v>57.556381078260877</v>
      </c>
      <c r="H13" s="42">
        <f>BuildSchedule!D26</f>
        <v>32</v>
      </c>
      <c r="I13" s="42">
        <f>BuildSchedule!E26</f>
        <v>140</v>
      </c>
    </row>
    <row r="14" spans="1:9" x14ac:dyDescent="0.2">
      <c r="B14" s="42" t="str">
        <f>BuildSchedule!A52</f>
        <v>Lake Coleridge Stage 5</v>
      </c>
      <c r="C14" s="42">
        <f>BuildSchedule!B52</f>
        <v>1930</v>
      </c>
      <c r="D14" s="45">
        <f>BuildSchedule!C52</f>
        <v>0.47257399999999988</v>
      </c>
      <c r="E14" s="59">
        <f t="shared" si="0"/>
        <v>25</v>
      </c>
      <c r="F14" s="48">
        <f t="shared" si="1"/>
        <v>40.834782608695654</v>
      </c>
      <c r="G14" s="48">
        <f t="shared" si="2"/>
        <v>19.297456556521734</v>
      </c>
      <c r="H14" s="42">
        <f>BuildSchedule!D52</f>
        <v>7.5</v>
      </c>
      <c r="I14" s="42">
        <f>BuildSchedule!E52</f>
        <v>30</v>
      </c>
    </row>
    <row r="15" spans="1:9" x14ac:dyDescent="0.2">
      <c r="B15" s="42" t="str">
        <f>BuildSchedule!A16</f>
        <v>Arapuni</v>
      </c>
      <c r="C15" s="42">
        <f>BuildSchedule!B16</f>
        <v>1932</v>
      </c>
      <c r="D15" s="45">
        <f>BuildSchedule!C16</f>
        <v>3.9007819999999995</v>
      </c>
      <c r="E15" s="59">
        <f t="shared" si="0"/>
        <v>22</v>
      </c>
      <c r="F15" s="48">
        <f t="shared" si="1"/>
        <v>46.403162055335969</v>
      </c>
      <c r="G15" s="48">
        <f t="shared" si="2"/>
        <v>181.00861928853752</v>
      </c>
      <c r="H15" s="42">
        <f>BuildSchedule!D16</f>
        <v>60</v>
      </c>
      <c r="I15" s="42">
        <f>BuildSchedule!E16</f>
        <v>300</v>
      </c>
    </row>
    <row r="16" spans="1:9" x14ac:dyDescent="0.2">
      <c r="B16" s="42" t="str">
        <f>BuildSchedule!A47</f>
        <v>Arnold</v>
      </c>
      <c r="C16" s="42">
        <f>BuildSchedule!B47</f>
        <v>1932</v>
      </c>
      <c r="D16" s="45">
        <f>BuildSchedule!C47</f>
        <v>0.35363600000000001</v>
      </c>
      <c r="E16" s="59">
        <f t="shared" si="0"/>
        <v>22</v>
      </c>
      <c r="F16" s="48">
        <f t="shared" si="1"/>
        <v>46.403162055335969</v>
      </c>
      <c r="G16" s="48">
        <f t="shared" si="2"/>
        <v>16.409828616600791</v>
      </c>
      <c r="H16" s="42">
        <f>BuildSchedule!D47</f>
        <v>3</v>
      </c>
      <c r="I16" s="42">
        <f>BuildSchedule!E47</f>
        <v>20</v>
      </c>
    </row>
    <row r="17" spans="2:9" x14ac:dyDescent="0.2">
      <c r="B17" s="42" t="str">
        <f>BuildSchedule!A39</f>
        <v>Waitaki</v>
      </c>
      <c r="C17" s="42">
        <f>BuildSchedule!B39</f>
        <v>1934</v>
      </c>
      <c r="D17" s="45">
        <f>BuildSchedule!C39</f>
        <v>5.5321899999999999</v>
      </c>
      <c r="E17" s="59">
        <f t="shared" si="0"/>
        <v>20</v>
      </c>
      <c r="F17" s="48">
        <f t="shared" si="1"/>
        <v>51.04347826086957</v>
      </c>
      <c r="G17" s="48">
        <f t="shared" si="2"/>
        <v>282.38222000000002</v>
      </c>
      <c r="H17" s="42">
        <f>BuildSchedule!D39</f>
        <v>75</v>
      </c>
      <c r="I17" s="42">
        <f>BuildSchedule!E39</f>
        <v>350</v>
      </c>
    </row>
    <row r="18" spans="2:9" x14ac:dyDescent="0.2">
      <c r="B18" s="42" t="str">
        <f>BuildSchedule!A17</f>
        <v>Arapuni Stage 2</v>
      </c>
      <c r="C18" s="42">
        <f>BuildSchedule!B17</f>
        <v>1938</v>
      </c>
      <c r="D18" s="45">
        <f>BuildSchedule!C17</f>
        <v>1.1574340000000003</v>
      </c>
      <c r="E18" s="59">
        <f t="shared" si="0"/>
        <v>24</v>
      </c>
      <c r="F18" s="48">
        <f t="shared" si="1"/>
        <v>42.536231884057976</v>
      </c>
      <c r="G18" s="48">
        <f t="shared" si="2"/>
        <v>49.232881014492769</v>
      </c>
      <c r="H18" s="42">
        <f>BuildSchedule!D17</f>
        <v>51</v>
      </c>
      <c r="I18" s="42">
        <f>BuildSchedule!E17</f>
        <v>250</v>
      </c>
    </row>
    <row r="19" spans="2:9" x14ac:dyDescent="0.2">
      <c r="B19" s="42" t="str">
        <f>BuildSchedule!A24</f>
        <v>Lake Waikaremoana control</v>
      </c>
      <c r="C19" s="42">
        <f>BuildSchedule!B24</f>
        <v>1939</v>
      </c>
      <c r="D19" s="45">
        <f>BuildSchedule!C24</f>
        <v>0.92905499999999996</v>
      </c>
      <c r="E19" s="59">
        <f t="shared" si="0"/>
        <v>25</v>
      </c>
      <c r="F19" s="48">
        <f t="shared" si="1"/>
        <v>40.834782608695654</v>
      </c>
      <c r="G19" s="48">
        <f t="shared" si="2"/>
        <v>37.937758956521741</v>
      </c>
      <c r="H19" s="42">
        <f>BuildSchedule!D24</f>
        <v>0.1</v>
      </c>
      <c r="I19" s="42">
        <f>BuildSchedule!E24</f>
        <v>0.1</v>
      </c>
    </row>
    <row r="20" spans="2:9" x14ac:dyDescent="0.2">
      <c r="B20" s="42" t="str">
        <f>BuildSchedule!A27</f>
        <v>Tuai Stage 2</v>
      </c>
      <c r="C20" s="42">
        <f>BuildSchedule!B27</f>
        <v>1939</v>
      </c>
      <c r="D20" s="45">
        <f>BuildSchedule!C27</f>
        <v>1.7914210000000002</v>
      </c>
      <c r="E20" s="59">
        <f t="shared" si="0"/>
        <v>25</v>
      </c>
      <c r="F20" s="48">
        <f t="shared" si="1"/>
        <v>40.834782608695654</v>
      </c>
      <c r="G20" s="48">
        <f t="shared" si="2"/>
        <v>73.152287095652184</v>
      </c>
      <c r="H20" s="42">
        <f>BuildSchedule!D27</f>
        <v>28</v>
      </c>
      <c r="I20" s="42">
        <f>BuildSchedule!E27</f>
        <v>80</v>
      </c>
    </row>
    <row r="21" spans="2:9" x14ac:dyDescent="0.2">
      <c r="B21" s="42" t="str">
        <f>BuildSchedule!A7</f>
        <v>Lake Taupo control</v>
      </c>
      <c r="C21" s="42">
        <f>BuildSchedule!B7</f>
        <v>1941</v>
      </c>
      <c r="D21" s="45">
        <f>BuildSchedule!C7</f>
        <v>0.419292</v>
      </c>
      <c r="E21" s="59">
        <f t="shared" si="0"/>
        <v>27</v>
      </c>
      <c r="F21" s="48">
        <f t="shared" si="1"/>
        <v>37.809983896940423</v>
      </c>
      <c r="G21" s="48">
        <f t="shared" si="2"/>
        <v>15.853423768115944</v>
      </c>
      <c r="H21" s="42">
        <f>BuildSchedule!D7</f>
        <v>0.1</v>
      </c>
      <c r="I21" s="42">
        <f>BuildSchedule!E7</f>
        <v>0.1</v>
      </c>
    </row>
    <row r="22" spans="2:9" x14ac:dyDescent="0.2">
      <c r="B22" s="42" t="str">
        <f>BuildSchedule!A28</f>
        <v>Piripaua</v>
      </c>
      <c r="C22" s="42">
        <f>BuildSchedule!B28</f>
        <v>1943</v>
      </c>
      <c r="D22" s="45">
        <f>BuildSchedule!C28</f>
        <v>2.1549489999999998</v>
      </c>
      <c r="E22" s="59">
        <f t="shared" si="0"/>
        <v>29</v>
      </c>
      <c r="F22" s="48">
        <f t="shared" si="1"/>
        <v>35.202398800599703</v>
      </c>
      <c r="G22" s="48">
        <f t="shared" si="2"/>
        <v>75.859374092953516</v>
      </c>
      <c r="H22" s="42">
        <f>BuildSchedule!D28</f>
        <v>42</v>
      </c>
      <c r="I22" s="42">
        <f>BuildSchedule!E28</f>
        <v>130</v>
      </c>
    </row>
    <row r="23" spans="2:9" x14ac:dyDescent="0.2">
      <c r="B23" s="42" t="str">
        <f>BuildSchedule!A45</f>
        <v>Cobb</v>
      </c>
      <c r="C23" s="42">
        <f>BuildSchedule!B45</f>
        <v>1944</v>
      </c>
      <c r="D23" s="45">
        <f>BuildSchedule!C45</f>
        <v>1.237196</v>
      </c>
      <c r="E23" s="59">
        <f t="shared" si="0"/>
        <v>29</v>
      </c>
      <c r="F23" s="48">
        <f t="shared" si="1"/>
        <v>35.202398800599703</v>
      </c>
      <c r="G23" s="48">
        <f t="shared" si="2"/>
        <v>43.552266986506751</v>
      </c>
      <c r="H23" s="42">
        <f>BuildSchedule!D45</f>
        <v>12</v>
      </c>
      <c r="I23" s="42">
        <f>BuildSchedule!E45</f>
        <v>60</v>
      </c>
    </row>
    <row r="24" spans="2:9" x14ac:dyDescent="0.2">
      <c r="B24" s="42" t="str">
        <f>BuildSchedule!A55</f>
        <v>Highbank</v>
      </c>
      <c r="C24" s="42">
        <f>BuildSchedule!B55</f>
        <v>1945</v>
      </c>
      <c r="D24" s="45">
        <f>BuildSchedule!C55</f>
        <v>1.2808379999999999</v>
      </c>
      <c r="E24" s="59">
        <f t="shared" si="0"/>
        <v>30</v>
      </c>
      <c r="F24" s="48">
        <f t="shared" si="1"/>
        <v>34.028985507246382</v>
      </c>
      <c r="G24" s="48">
        <f t="shared" si="2"/>
        <v>43.585617739130441</v>
      </c>
      <c r="H24" s="42">
        <f>BuildSchedule!D55</f>
        <v>25.2</v>
      </c>
      <c r="I24" s="42">
        <f>BuildSchedule!E55</f>
        <v>93</v>
      </c>
    </row>
    <row r="25" spans="2:9" x14ac:dyDescent="0.2">
      <c r="B25" s="42" t="str">
        <f>BuildSchedule!A18</f>
        <v>Arapuni Stage 3</v>
      </c>
      <c r="C25" s="42">
        <f>BuildSchedule!B18</f>
        <v>1946</v>
      </c>
      <c r="D25" s="45">
        <f>BuildSchedule!C18</f>
        <v>1.1574340000000003</v>
      </c>
      <c r="E25" s="59">
        <f t="shared" si="0"/>
        <v>30</v>
      </c>
      <c r="F25" s="48">
        <f t="shared" si="1"/>
        <v>34.028985507246382</v>
      </c>
      <c r="G25" s="48">
        <f t="shared" si="2"/>
        <v>39.386304811594222</v>
      </c>
      <c r="H25" s="42">
        <f>BuildSchedule!D18</f>
        <v>51</v>
      </c>
      <c r="I25" s="42">
        <f>BuildSchedule!E18</f>
        <v>250</v>
      </c>
    </row>
    <row r="26" spans="2:9" x14ac:dyDescent="0.2">
      <c r="B26" s="42" t="str">
        <f>BuildSchedule!A21</f>
        <v>Karapiro</v>
      </c>
      <c r="C26" s="42">
        <f>BuildSchedule!B21</f>
        <v>1948</v>
      </c>
      <c r="D26" s="45">
        <f>BuildSchedule!C21</f>
        <v>8.7482780000000009</v>
      </c>
      <c r="E26" s="59">
        <f t="shared" si="0"/>
        <v>33</v>
      </c>
      <c r="F26" s="48">
        <f t="shared" si="1"/>
        <v>30.93544137022398</v>
      </c>
      <c r="G26" s="48">
        <f t="shared" si="2"/>
        <v>270.63184115942033</v>
      </c>
      <c r="H26" s="42">
        <f>BuildSchedule!D21</f>
        <v>90</v>
      </c>
      <c r="I26" s="42">
        <f>BuildSchedule!E21</f>
        <v>525</v>
      </c>
    </row>
    <row r="27" spans="2:9" x14ac:dyDescent="0.2">
      <c r="B27" s="42" t="str">
        <f>BuildSchedule!A25</f>
        <v>Kaitawa</v>
      </c>
      <c r="C27" s="42">
        <f>BuildSchedule!B25</f>
        <v>1948</v>
      </c>
      <c r="D27" s="45">
        <f>BuildSchedule!C25</f>
        <v>3.419343</v>
      </c>
      <c r="E27" s="59">
        <f t="shared" si="0"/>
        <v>33</v>
      </c>
      <c r="F27" s="48">
        <f t="shared" si="1"/>
        <v>30.93544137022398</v>
      </c>
      <c r="G27" s="48">
        <f t="shared" si="2"/>
        <v>105.77888490118578</v>
      </c>
      <c r="H27" s="42">
        <f>BuildSchedule!D25</f>
        <v>36</v>
      </c>
      <c r="I27" s="42">
        <f>BuildSchedule!E25</f>
        <v>90</v>
      </c>
    </row>
    <row r="28" spans="2:9" x14ac:dyDescent="0.2">
      <c r="B28" s="42" t="str">
        <f>BuildSchedule!A32</f>
        <v>Tekapo A</v>
      </c>
      <c r="C28" s="42">
        <f>BuildSchedule!B32</f>
        <v>1951</v>
      </c>
      <c r="D28" s="45">
        <f>BuildSchedule!C32</f>
        <v>7.3650149999999996</v>
      </c>
      <c r="E28" s="59">
        <f t="shared" si="0"/>
        <v>38</v>
      </c>
      <c r="F28" s="48">
        <f t="shared" si="1"/>
        <v>26.864988558352405</v>
      </c>
      <c r="G28" s="48">
        <f t="shared" si="2"/>
        <v>197.86104370709381</v>
      </c>
      <c r="H28" s="42">
        <f>BuildSchedule!D32</f>
        <v>25</v>
      </c>
      <c r="I28" s="42">
        <f>BuildSchedule!E32</f>
        <v>160</v>
      </c>
    </row>
    <row r="29" spans="2:9" x14ac:dyDescent="0.2">
      <c r="B29" s="42" t="str">
        <f>BuildSchedule!A34</f>
        <v>Lake Pukaki control</v>
      </c>
      <c r="C29" s="42">
        <f>BuildSchedule!B34</f>
        <v>1951</v>
      </c>
      <c r="D29" s="45">
        <f>BuildSchedule!C34</f>
        <v>4.6199830000000004</v>
      </c>
      <c r="E29" s="59">
        <f t="shared" si="0"/>
        <v>38</v>
      </c>
      <c r="F29" s="48">
        <f t="shared" si="1"/>
        <v>26.864988558352405</v>
      </c>
      <c r="G29" s="48">
        <f t="shared" si="2"/>
        <v>124.11579043478262</v>
      </c>
      <c r="H29" s="42">
        <f>BuildSchedule!D34</f>
        <v>0.1</v>
      </c>
      <c r="I29" s="42">
        <f>BuildSchedule!E34</f>
        <v>0.1</v>
      </c>
    </row>
    <row r="30" spans="2:9" x14ac:dyDescent="0.2">
      <c r="B30" s="42" t="str">
        <f>BuildSchedule!A13</f>
        <v>Maraetai</v>
      </c>
      <c r="C30" s="42">
        <f>BuildSchedule!B13</f>
        <v>1953</v>
      </c>
      <c r="D30" s="45">
        <f>BuildSchedule!C13</f>
        <v>19.186413000000002</v>
      </c>
      <c r="E30" s="59">
        <f t="shared" si="0"/>
        <v>44</v>
      </c>
      <c r="F30" s="48">
        <f t="shared" si="1"/>
        <v>23.201581027667984</v>
      </c>
      <c r="G30" s="48">
        <f t="shared" si="2"/>
        <v>445.15511584980243</v>
      </c>
      <c r="H30" s="42">
        <f>BuildSchedule!D13</f>
        <v>180</v>
      </c>
      <c r="I30" s="42">
        <f>BuildSchedule!E13</f>
        <v>880</v>
      </c>
    </row>
    <row r="31" spans="2:9" x14ac:dyDescent="0.2">
      <c r="B31" s="42" t="str">
        <f>BuildSchedule!A40</f>
        <v>Waitaki Stage 2</v>
      </c>
      <c r="C31" s="42">
        <f>BuildSchedule!B40</f>
        <v>1954</v>
      </c>
      <c r="D31" s="45">
        <f>BuildSchedule!C40</f>
        <v>4.1703170000000007</v>
      </c>
      <c r="E31" s="59">
        <f t="shared" si="0"/>
        <v>46</v>
      </c>
      <c r="F31" s="48">
        <f t="shared" si="1"/>
        <v>22.192816635160682</v>
      </c>
      <c r="G31" s="48">
        <f t="shared" si="2"/>
        <v>92.551080491493408</v>
      </c>
      <c r="H31" s="42">
        <f>BuildSchedule!D40</f>
        <v>30</v>
      </c>
      <c r="I31" s="42">
        <f>BuildSchedule!E40</f>
        <v>150</v>
      </c>
    </row>
    <row r="32" spans="2:9" x14ac:dyDescent="0.2">
      <c r="B32" s="42" t="str">
        <f>BuildSchedule!A12</f>
        <v>Whakamaru</v>
      </c>
      <c r="C32" s="42">
        <f>BuildSchedule!B12</f>
        <v>1956</v>
      </c>
      <c r="D32" s="45">
        <f>BuildSchedule!C12</f>
        <v>24.116182999999999</v>
      </c>
      <c r="E32" s="59">
        <f t="shared" si="0"/>
        <v>49</v>
      </c>
      <c r="F32" s="48">
        <f t="shared" si="1"/>
        <v>20.8340727595386</v>
      </c>
      <c r="G32" s="48">
        <f t="shared" si="2"/>
        <v>502.43831130434785</v>
      </c>
      <c r="H32" s="42">
        <f>BuildSchedule!D12</f>
        <v>100</v>
      </c>
      <c r="I32" s="42">
        <f>BuildSchedule!E12</f>
        <v>490</v>
      </c>
    </row>
    <row r="33" spans="2:9" x14ac:dyDescent="0.2">
      <c r="B33" s="42" t="str">
        <f>BuildSchedule!A43</f>
        <v>Roxburgh</v>
      </c>
      <c r="C33" s="42">
        <f>BuildSchedule!B43</f>
        <v>1956</v>
      </c>
      <c r="D33" s="45">
        <f>BuildSchedule!C43</f>
        <v>41.37426</v>
      </c>
      <c r="E33" s="59">
        <f t="shared" si="0"/>
        <v>49</v>
      </c>
      <c r="F33" s="48">
        <f t="shared" si="1"/>
        <v>20.8340727595386</v>
      </c>
      <c r="G33" s="48">
        <f t="shared" si="2"/>
        <v>861.99434321206752</v>
      </c>
      <c r="H33" s="42">
        <f>BuildSchedule!D43</f>
        <v>160</v>
      </c>
      <c r="I33" s="42">
        <f>BuildSchedule!E43</f>
        <v>1350</v>
      </c>
    </row>
    <row r="34" spans="2:9" x14ac:dyDescent="0.2">
      <c r="B34" s="42" t="str">
        <f>BuildSchedule!A46</f>
        <v>Cobb Stage 2</v>
      </c>
      <c r="C34" s="42">
        <f>BuildSchedule!B46</f>
        <v>1956</v>
      </c>
      <c r="D34" s="45">
        <f>BuildSchedule!C46</f>
        <v>8.8559739999999998</v>
      </c>
      <c r="E34" s="59">
        <f t="shared" si="0"/>
        <v>49</v>
      </c>
      <c r="F34" s="48">
        <f t="shared" si="1"/>
        <v>20.8340727595386</v>
      </c>
      <c r="G34" s="48">
        <f t="shared" si="2"/>
        <v>184.50600667258209</v>
      </c>
      <c r="H34" s="42">
        <f>BuildSchedule!D46</f>
        <v>20</v>
      </c>
      <c r="I34" s="42">
        <f>BuildSchedule!E46</f>
        <v>130</v>
      </c>
    </row>
    <row r="35" spans="2:9" x14ac:dyDescent="0.2">
      <c r="B35" s="42" t="str">
        <f>BuildSchedule!A76</f>
        <v>Meremere</v>
      </c>
      <c r="C35" s="42">
        <f>BuildSchedule!B76</f>
        <v>1958</v>
      </c>
      <c r="D35" s="45">
        <f>BuildSchedule!C76</f>
        <v>35.678933999999998</v>
      </c>
      <c r="E35" s="59">
        <f t="shared" si="0"/>
        <v>51</v>
      </c>
      <c r="F35" s="48">
        <f t="shared" si="1"/>
        <v>20.017050298380223</v>
      </c>
      <c r="G35" s="48">
        <f t="shared" si="2"/>
        <v>714.18701647058822</v>
      </c>
      <c r="H35" s="42">
        <f>BuildSchedule!D76</f>
        <v>180</v>
      </c>
      <c r="I35" s="42">
        <f>BuildSchedule!E76</f>
        <v>950</v>
      </c>
    </row>
    <row r="36" spans="2:9" x14ac:dyDescent="0.2">
      <c r="B36" s="42" t="str">
        <f>BuildSchedule!A79</f>
        <v>Wairakei</v>
      </c>
      <c r="C36" s="42">
        <f>BuildSchedule!B79</f>
        <v>1958</v>
      </c>
      <c r="D36" s="45">
        <f>BuildSchedule!C79</f>
        <v>16.826504</v>
      </c>
      <c r="E36" s="59">
        <f t="shared" si="0"/>
        <v>51</v>
      </c>
      <c r="F36" s="48">
        <f t="shared" si="1"/>
        <v>20.017050298380223</v>
      </c>
      <c r="G36" s="48">
        <f t="shared" si="2"/>
        <v>336.81697691389604</v>
      </c>
      <c r="H36" s="42">
        <f>BuildSchedule!D79</f>
        <v>69</v>
      </c>
      <c r="I36" s="42">
        <f>BuildSchedule!E79</f>
        <v>450</v>
      </c>
    </row>
    <row r="37" spans="2:9" x14ac:dyDescent="0.2">
      <c r="B37" s="42" t="str">
        <f>BuildSchedule!A10</f>
        <v>Atiamuri</v>
      </c>
      <c r="C37" s="42">
        <f>BuildSchedule!B10</f>
        <v>1959</v>
      </c>
      <c r="D37" s="45">
        <f>BuildSchedule!C10</f>
        <v>19.436332</v>
      </c>
      <c r="E37" s="59">
        <f t="shared" si="0"/>
        <v>55</v>
      </c>
      <c r="F37" s="48">
        <f t="shared" si="1"/>
        <v>18.561264822134387</v>
      </c>
      <c r="G37" s="48">
        <f t="shared" si="2"/>
        <v>360.76290542292492</v>
      </c>
      <c r="H37" s="42">
        <f>BuildSchedule!D10</f>
        <v>63</v>
      </c>
      <c r="I37" s="42">
        <f>BuildSchedule!E10</f>
        <v>210</v>
      </c>
    </row>
    <row r="38" spans="2:9" x14ac:dyDescent="0.2">
      <c r="B38" s="42" t="str">
        <f>BuildSchedule!A42</f>
        <v>Lake Hawea control</v>
      </c>
      <c r="C38" s="42">
        <f>BuildSchedule!B42</f>
        <v>1959</v>
      </c>
      <c r="D38" s="45">
        <f>BuildSchedule!C42</f>
        <v>4.9149409999999998</v>
      </c>
      <c r="E38" s="59">
        <f t="shared" si="0"/>
        <v>55</v>
      </c>
      <c r="F38" s="48">
        <f t="shared" si="1"/>
        <v>18.561264822134387</v>
      </c>
      <c r="G38" s="48">
        <f t="shared" si="2"/>
        <v>91.227521486165998</v>
      </c>
      <c r="H38" s="42">
        <f>BuildSchedule!D42</f>
        <v>0.1</v>
      </c>
      <c r="I38" s="42">
        <f>BuildSchedule!E42</f>
        <v>0.1</v>
      </c>
    </row>
    <row r="39" spans="2:9" x14ac:dyDescent="0.2">
      <c r="B39" s="42" t="str">
        <f>BuildSchedule!A9</f>
        <v>Ohakuri</v>
      </c>
      <c r="C39" s="42">
        <f>BuildSchedule!B9</f>
        <v>1961</v>
      </c>
      <c r="D39" s="45">
        <f>BuildSchedule!C9</f>
        <v>21.673347</v>
      </c>
      <c r="E39" s="59">
        <f t="shared" si="0"/>
        <v>56</v>
      </c>
      <c r="F39" s="48">
        <f t="shared" si="1"/>
        <v>18.229813664596275</v>
      </c>
      <c r="G39" s="48">
        <f t="shared" si="2"/>
        <v>395.10107729813666</v>
      </c>
      <c r="H39" s="42">
        <f>BuildSchedule!D9</f>
        <v>112</v>
      </c>
      <c r="I39" s="42">
        <f>BuildSchedule!E9</f>
        <v>400</v>
      </c>
    </row>
    <row r="40" spans="2:9" x14ac:dyDescent="0.2">
      <c r="B40" s="42" t="str">
        <f>BuildSchedule!A15</f>
        <v>Waipapa</v>
      </c>
      <c r="C40" s="42">
        <f>BuildSchedule!B15</f>
        <v>1961</v>
      </c>
      <c r="D40" s="45">
        <f>BuildSchedule!C15</f>
        <v>15.792759</v>
      </c>
      <c r="E40" s="59">
        <f t="shared" si="0"/>
        <v>56</v>
      </c>
      <c r="F40" s="48">
        <f t="shared" si="1"/>
        <v>18.229813664596275</v>
      </c>
      <c r="G40" s="48">
        <f t="shared" si="2"/>
        <v>287.8990538198758</v>
      </c>
      <c r="H40" s="42">
        <f>BuildSchedule!D15</f>
        <v>51</v>
      </c>
      <c r="I40" s="42">
        <f>BuildSchedule!E15</f>
        <v>240</v>
      </c>
    </row>
    <row r="41" spans="2:9" x14ac:dyDescent="0.2">
      <c r="B41" s="42" t="str">
        <f>BuildSchedule!A11</f>
        <v>Atiamuri Stage 2</v>
      </c>
      <c r="C41" s="42">
        <f>BuildSchedule!B11</f>
        <v>1962</v>
      </c>
      <c r="D41" s="45">
        <f>BuildSchedule!C11</f>
        <v>1.054152</v>
      </c>
      <c r="E41" s="59">
        <f t="shared" si="0"/>
        <v>58</v>
      </c>
      <c r="F41" s="48">
        <f t="shared" si="1"/>
        <v>17.601199400299851</v>
      </c>
      <c r="G41" s="48">
        <f t="shared" si="2"/>
        <v>18.554339550224888</v>
      </c>
      <c r="H41" s="42">
        <f>BuildSchedule!D11</f>
        <v>21</v>
      </c>
      <c r="I41" s="42">
        <f>BuildSchedule!E11</f>
        <v>70</v>
      </c>
    </row>
    <row r="42" spans="2:9" x14ac:dyDescent="0.2">
      <c r="B42" s="42" t="str">
        <f>BuildSchedule!A44</f>
        <v>Roxburgh  Stage 2</v>
      </c>
      <c r="C42" s="42">
        <f>BuildSchedule!B44</f>
        <v>1962</v>
      </c>
      <c r="D42" s="45">
        <f>BuildSchedule!C44</f>
        <v>8.0062739999999977</v>
      </c>
      <c r="E42" s="59">
        <f t="shared" si="0"/>
        <v>58</v>
      </c>
      <c r="F42" s="48">
        <f t="shared" si="1"/>
        <v>17.601199400299851</v>
      </c>
      <c r="G42" s="48">
        <f t="shared" si="2"/>
        <v>140.92002512743625</v>
      </c>
      <c r="H42" s="42">
        <f>BuildSchedule!D44</f>
        <v>160</v>
      </c>
      <c r="I42" s="42">
        <f>BuildSchedule!E44</f>
        <v>300</v>
      </c>
    </row>
    <row r="43" spans="2:9" x14ac:dyDescent="0.2">
      <c r="B43" s="42" t="str">
        <f>BuildSchedule!A8</f>
        <v>Aratiatia</v>
      </c>
      <c r="C43" s="42">
        <f>BuildSchedule!B8</f>
        <v>1964</v>
      </c>
      <c r="D43" s="45">
        <f>BuildSchedule!C8</f>
        <v>16.213356000000001</v>
      </c>
      <c r="E43" s="59">
        <f t="shared" si="0"/>
        <v>60</v>
      </c>
      <c r="F43" s="48">
        <f t="shared" si="1"/>
        <v>17.014492753623191</v>
      </c>
      <c r="G43" s="48">
        <f t="shared" si="2"/>
        <v>275.86202817391313</v>
      </c>
      <c r="H43" s="42">
        <f>BuildSchedule!D8</f>
        <v>90</v>
      </c>
      <c r="I43" s="42">
        <f>BuildSchedule!E8</f>
        <v>330</v>
      </c>
    </row>
    <row r="44" spans="2:9" x14ac:dyDescent="0.2">
      <c r="B44" s="42" t="str">
        <f>BuildSchedule!A80</f>
        <v>Wairakei Stage 2</v>
      </c>
      <c r="C44" s="42">
        <f>BuildSchedule!B80</f>
        <v>1964</v>
      </c>
      <c r="D44" s="45">
        <f>BuildSchedule!C80</f>
        <v>29.716079000000001</v>
      </c>
      <c r="E44" s="59">
        <f t="shared" si="0"/>
        <v>60</v>
      </c>
      <c r="F44" s="48">
        <f t="shared" si="1"/>
        <v>17.014492753623191</v>
      </c>
      <c r="G44" s="48">
        <f t="shared" si="2"/>
        <v>505.60401081159432</v>
      </c>
      <c r="H44" s="42">
        <f>BuildSchedule!D80</f>
        <v>123</v>
      </c>
      <c r="I44" s="42">
        <f>BuildSchedule!E80</f>
        <v>850</v>
      </c>
    </row>
    <row r="45" spans="2:9" x14ac:dyDescent="0.2">
      <c r="B45" s="42" t="str">
        <f>BuildSchedule!A36</f>
        <v>Benmore</v>
      </c>
      <c r="C45" s="42">
        <f>BuildSchedule!B36</f>
        <v>1965</v>
      </c>
      <c r="D45" s="45">
        <f>BuildSchedule!C36</f>
        <v>66.656210000000002</v>
      </c>
      <c r="E45" s="59">
        <f t="shared" si="0"/>
        <v>63</v>
      </c>
      <c r="F45" s="48">
        <f t="shared" si="1"/>
        <v>16.204278812974465</v>
      </c>
      <c r="G45" s="48">
        <f t="shared" si="2"/>
        <v>1080.1158114561767</v>
      </c>
      <c r="H45" s="42">
        <f>BuildSchedule!D36</f>
        <v>540</v>
      </c>
      <c r="I45" s="42">
        <f>BuildSchedule!E36</f>
        <v>2500</v>
      </c>
    </row>
    <row r="46" spans="2:9" x14ac:dyDescent="0.2">
      <c r="B46" s="42" t="str">
        <f>BuildSchedule!A22</f>
        <v>Matahina</v>
      </c>
      <c r="C46" s="42">
        <f>BuildSchedule!B22</f>
        <v>1967</v>
      </c>
      <c r="D46" s="45">
        <f>BuildSchedule!C22</f>
        <v>30.157295999999999</v>
      </c>
      <c r="E46" s="59">
        <f t="shared" si="0"/>
        <v>67</v>
      </c>
      <c r="F46" s="48">
        <f t="shared" si="1"/>
        <v>15.236859182349125</v>
      </c>
      <c r="G46" s="48">
        <f t="shared" si="2"/>
        <v>459.50247247242049</v>
      </c>
      <c r="H46" s="42">
        <f>BuildSchedule!D22</f>
        <v>72</v>
      </c>
      <c r="I46" s="42">
        <f>BuildSchedule!E22</f>
        <v>290</v>
      </c>
    </row>
    <row r="47" spans="2:9" x14ac:dyDescent="0.2">
      <c r="B47" s="42" t="str">
        <f>BuildSchedule!A69</f>
        <v>Marsden A</v>
      </c>
      <c r="C47" s="42">
        <f>BuildSchedule!B69</f>
        <v>1967</v>
      </c>
      <c r="D47" s="45">
        <f>BuildSchedule!C69</f>
        <v>30.815639000000001</v>
      </c>
      <c r="E47" s="59">
        <f t="shared" si="0"/>
        <v>67</v>
      </c>
      <c r="F47" s="48">
        <f t="shared" si="1"/>
        <v>15.236859182349125</v>
      </c>
      <c r="G47" s="48">
        <f t="shared" si="2"/>
        <v>469.53355205710585</v>
      </c>
      <c r="H47" s="42">
        <f>BuildSchedule!D69</f>
        <v>240</v>
      </c>
      <c r="I47" s="42">
        <f>BuildSchedule!E69</f>
        <v>400</v>
      </c>
    </row>
    <row r="48" spans="2:9" x14ac:dyDescent="0.2">
      <c r="B48" s="42" t="str">
        <f>BuildSchedule!A77</f>
        <v>Meremere Stage 2</v>
      </c>
      <c r="C48" s="42">
        <f>BuildSchedule!B77</f>
        <v>1967</v>
      </c>
      <c r="D48" s="45">
        <f>BuildSchedule!C77</f>
        <v>3.3728660000000019</v>
      </c>
      <c r="E48" s="59">
        <f t="shared" si="0"/>
        <v>67</v>
      </c>
      <c r="F48" s="48">
        <f t="shared" si="1"/>
        <v>15.236859182349125</v>
      </c>
      <c r="G48" s="48">
        <f t="shared" si="2"/>
        <v>51.391884282933191</v>
      </c>
      <c r="H48" s="42">
        <f>BuildSchedule!D77</f>
        <v>30</v>
      </c>
      <c r="I48" s="42">
        <f>BuildSchedule!E77</f>
        <v>150</v>
      </c>
    </row>
    <row r="49" spans="2:9" x14ac:dyDescent="0.2">
      <c r="B49" s="42" t="str">
        <f>BuildSchedule!A38</f>
        <v>Aviemore</v>
      </c>
      <c r="C49" s="42">
        <f>BuildSchedule!B38</f>
        <v>1968</v>
      </c>
      <c r="D49" s="45">
        <f>BuildSchedule!C38</f>
        <v>37.545741</v>
      </c>
      <c r="E49" s="59">
        <f t="shared" si="0"/>
        <v>71</v>
      </c>
      <c r="F49" s="48">
        <f t="shared" si="1"/>
        <v>14.378444580526638</v>
      </c>
      <c r="G49" s="48">
        <f t="shared" si="2"/>
        <v>539.8493562033068</v>
      </c>
      <c r="H49" s="42">
        <f>BuildSchedule!D38</f>
        <v>220</v>
      </c>
      <c r="I49" s="42">
        <f>BuildSchedule!E38</f>
        <v>930</v>
      </c>
    </row>
    <row r="50" spans="2:9" x14ac:dyDescent="0.2">
      <c r="B50" s="42" t="str">
        <f>BuildSchedule!A14</f>
        <v>Maraetai Stage 2</v>
      </c>
      <c r="C50" s="42">
        <f>BuildSchedule!B14</f>
        <v>1971</v>
      </c>
      <c r="D50" s="45">
        <f>BuildSchedule!C14</f>
        <v>20.617809999999999</v>
      </c>
      <c r="E50" s="59">
        <f t="shared" si="0"/>
        <v>86</v>
      </c>
      <c r="F50" s="48">
        <f t="shared" si="1"/>
        <v>11.870576339737109</v>
      </c>
      <c r="G50" s="48">
        <f t="shared" si="2"/>
        <v>244.74528756319515</v>
      </c>
      <c r="H50" s="42">
        <f>BuildSchedule!D14</f>
        <v>180</v>
      </c>
      <c r="I50" s="42">
        <f>BuildSchedule!E14</f>
        <v>1</v>
      </c>
    </row>
    <row r="51" spans="2:9" x14ac:dyDescent="0.2">
      <c r="B51" s="42" t="str">
        <f>BuildSchedule!A57</f>
        <v>Lake Manapouri control</v>
      </c>
      <c r="C51" s="42">
        <f>BuildSchedule!B57</f>
        <v>1971</v>
      </c>
      <c r="D51" s="45">
        <f>BuildSchedule!C57</f>
        <v>11.873313</v>
      </c>
      <c r="E51" s="59">
        <f t="shared" si="0"/>
        <v>86</v>
      </c>
      <c r="F51" s="48">
        <f t="shared" si="1"/>
        <v>11.870576339737109</v>
      </c>
      <c r="G51" s="48">
        <f t="shared" si="2"/>
        <v>140.94306837209302</v>
      </c>
      <c r="H51" s="42">
        <f>BuildSchedule!D57</f>
        <v>0.1</v>
      </c>
      <c r="I51" s="42">
        <f>BuildSchedule!E57</f>
        <v>1</v>
      </c>
    </row>
    <row r="52" spans="2:9" x14ac:dyDescent="0.2">
      <c r="B52" s="42" t="str">
        <f>BuildSchedule!A58</f>
        <v>Lake Te Anau control</v>
      </c>
      <c r="C52" s="42">
        <f>BuildSchedule!B58</f>
        <v>1971</v>
      </c>
      <c r="D52" s="45">
        <f>BuildSchedule!C58</f>
        <v>9.8099019999999992</v>
      </c>
      <c r="E52" s="59">
        <f t="shared" si="0"/>
        <v>86</v>
      </c>
      <c r="F52" s="48">
        <f t="shared" si="1"/>
        <v>11.870576339737109</v>
      </c>
      <c r="G52" s="48">
        <f t="shared" si="2"/>
        <v>116.44919057633975</v>
      </c>
      <c r="H52" s="42">
        <f>BuildSchedule!D58</f>
        <v>0.1</v>
      </c>
      <c r="I52" s="42">
        <f>BuildSchedule!E58</f>
        <v>1</v>
      </c>
    </row>
    <row r="53" spans="2:9" x14ac:dyDescent="0.2">
      <c r="B53" s="42" t="str">
        <f>BuildSchedule!A59</f>
        <v>Manapouri</v>
      </c>
      <c r="C53" s="42">
        <f>BuildSchedule!B59</f>
        <v>1971</v>
      </c>
      <c r="D53" s="45">
        <f>BuildSchedule!C59</f>
        <v>119.44128499999999</v>
      </c>
      <c r="E53" s="59">
        <f t="shared" si="0"/>
        <v>86</v>
      </c>
      <c r="F53" s="48">
        <f t="shared" si="1"/>
        <v>11.870576339737109</v>
      </c>
      <c r="G53" s="48">
        <f t="shared" si="2"/>
        <v>1417.8368917087969</v>
      </c>
      <c r="H53" s="42">
        <f>BuildSchedule!D59</f>
        <v>585</v>
      </c>
      <c r="I53" s="42">
        <f>BuildSchedule!E59</f>
        <v>4800</v>
      </c>
    </row>
    <row r="54" spans="2:9" x14ac:dyDescent="0.2">
      <c r="B54" s="42" t="str">
        <f>BuildSchedule!A5</f>
        <v>Tongariro control (incl. Tokaanu)</v>
      </c>
      <c r="C54" s="42">
        <f>BuildSchedule!B5</f>
        <v>1973</v>
      </c>
      <c r="D54" s="45">
        <f>BuildSchedule!C5</f>
        <v>224.10984999999999</v>
      </c>
      <c r="E54" s="59">
        <f t="shared" si="0"/>
        <v>99</v>
      </c>
      <c r="F54" s="48">
        <f t="shared" si="1"/>
        <v>10.311813790074661</v>
      </c>
      <c r="G54" s="48">
        <f t="shared" si="2"/>
        <v>2310.9790417215636</v>
      </c>
      <c r="H54" s="42">
        <f>BuildSchedule!D5</f>
        <v>200</v>
      </c>
      <c r="I54" s="42">
        <f>BuildSchedule!E5</f>
        <v>660</v>
      </c>
    </row>
    <row r="55" spans="2:9" x14ac:dyDescent="0.2">
      <c r="B55" s="42" t="str">
        <f>BuildSchedule!A82</f>
        <v>New Plymouth</v>
      </c>
      <c r="C55" s="42">
        <f>BuildSchedule!B82</f>
        <v>1974</v>
      </c>
      <c r="D55" s="45">
        <f>BuildSchedule!C82</f>
        <v>136.307197</v>
      </c>
      <c r="E55" s="59">
        <f t="shared" si="0"/>
        <v>109</v>
      </c>
      <c r="F55" s="48">
        <f t="shared" si="1"/>
        <v>9.365775827682489</v>
      </c>
      <c r="G55" s="48">
        <f t="shared" si="2"/>
        <v>1276.6226508017551</v>
      </c>
      <c r="H55" s="42">
        <f>BuildSchedule!D82</f>
        <v>600</v>
      </c>
      <c r="I55" s="42">
        <f>BuildSchedule!E82</f>
        <v>700</v>
      </c>
    </row>
    <row r="56" spans="2:9" x14ac:dyDescent="0.2">
      <c r="B56" s="42" t="str">
        <f>BuildSchedule!A84</f>
        <v>Stratford</v>
      </c>
      <c r="C56" s="42">
        <f>BuildSchedule!B84</f>
        <v>1976</v>
      </c>
      <c r="D56" s="45">
        <f>BuildSchedule!C84</f>
        <v>30.519667999999999</v>
      </c>
      <c r="E56" s="59">
        <f t="shared" si="0"/>
        <v>145</v>
      </c>
      <c r="F56" s="48">
        <f t="shared" si="1"/>
        <v>7.0404797601199407</v>
      </c>
      <c r="G56" s="48">
        <f t="shared" si="2"/>
        <v>214.87310483958024</v>
      </c>
      <c r="H56" s="42">
        <f>BuildSchedule!D84</f>
        <v>200</v>
      </c>
      <c r="I56" s="42">
        <f>BuildSchedule!E84</f>
        <v>400</v>
      </c>
    </row>
    <row r="57" spans="2:9" x14ac:dyDescent="0.2">
      <c r="B57" s="42" t="str">
        <f>BuildSchedule!A33</f>
        <v>Tekapo B</v>
      </c>
      <c r="C57" s="42">
        <f>BuildSchedule!B33</f>
        <v>1977</v>
      </c>
      <c r="D57" s="45">
        <f>BuildSchedule!C33</f>
        <v>116.185621</v>
      </c>
      <c r="E57" s="59">
        <f t="shared" si="0"/>
        <v>164</v>
      </c>
      <c r="F57" s="48">
        <f t="shared" si="1"/>
        <v>6.2248144220572641</v>
      </c>
      <c r="G57" s="48">
        <f t="shared" si="2"/>
        <v>723.2339292364793</v>
      </c>
      <c r="H57" s="42">
        <f>BuildSchedule!D33</f>
        <v>160</v>
      </c>
      <c r="I57" s="42">
        <f>BuildSchedule!E33</f>
        <v>800</v>
      </c>
    </row>
    <row r="58" spans="2:9" x14ac:dyDescent="0.2">
      <c r="B58" s="42" t="str">
        <f>BuildSchedule!A35</f>
        <v>Lake Pukaki control Stage 2</v>
      </c>
      <c r="C58" s="42">
        <f>BuildSchedule!B35</f>
        <v>1977</v>
      </c>
      <c r="D58" s="45">
        <f>BuildSchedule!C35</f>
        <v>69.367730999999992</v>
      </c>
      <c r="E58" s="59">
        <f t="shared" si="0"/>
        <v>164</v>
      </c>
      <c r="F58" s="48">
        <f t="shared" si="1"/>
        <v>6.2248144220572641</v>
      </c>
      <c r="G58" s="48">
        <f t="shared" si="2"/>
        <v>431.8012523541887</v>
      </c>
      <c r="H58" s="42">
        <f>BuildSchedule!D35</f>
        <v>0.1</v>
      </c>
      <c r="I58" s="42">
        <f>BuildSchedule!E35</f>
        <v>0.1</v>
      </c>
    </row>
    <row r="59" spans="2:9" x14ac:dyDescent="0.2">
      <c r="B59" s="42" t="str">
        <f>BuildSchedule!A53</f>
        <v>Lake Coleridge Stage 6</v>
      </c>
      <c r="C59" s="42">
        <f>BuildSchedule!B53</f>
        <v>1977</v>
      </c>
      <c r="D59" s="45">
        <f>BuildSchedule!C53</f>
        <v>3.5115130000000003</v>
      </c>
      <c r="E59" s="59">
        <f t="shared" si="0"/>
        <v>164</v>
      </c>
      <c r="F59" s="48">
        <f t="shared" si="1"/>
        <v>6.2248144220572641</v>
      </c>
      <c r="G59" s="48">
        <f t="shared" si="2"/>
        <v>21.858516765641571</v>
      </c>
      <c r="H59" s="42">
        <f>BuildSchedule!D53</f>
        <v>0.1</v>
      </c>
      <c r="I59" s="42">
        <f>BuildSchedule!E53</f>
        <v>72</v>
      </c>
    </row>
    <row r="60" spans="2:9" x14ac:dyDescent="0.2">
      <c r="B60" s="42" t="str">
        <f>BuildSchedule!A86</f>
        <v>Whirinaki 1</v>
      </c>
      <c r="C60" s="42">
        <f>BuildSchedule!B86</f>
        <v>1978</v>
      </c>
      <c r="D60" s="45">
        <f>BuildSchedule!C86</f>
        <v>28.20429</v>
      </c>
      <c r="E60" s="59">
        <f t="shared" si="0"/>
        <v>188</v>
      </c>
      <c r="F60" s="48">
        <f t="shared" si="1"/>
        <v>5.4301572617946352</v>
      </c>
      <c r="G60" s="48">
        <f t="shared" si="2"/>
        <v>153.1537301572618</v>
      </c>
      <c r="H60" s="42">
        <f>BuildSchedule!D86</f>
        <v>220</v>
      </c>
      <c r="I60" s="42">
        <f>BuildSchedule!E86</f>
        <v>500</v>
      </c>
    </row>
    <row r="61" spans="2:9" x14ac:dyDescent="0.2">
      <c r="B61" s="42" t="str">
        <f>BuildSchedule!A56</f>
        <v>Highbank Stage 2</v>
      </c>
      <c r="C61" s="42">
        <f>BuildSchedule!B56</f>
        <v>1979</v>
      </c>
      <c r="D61" s="45">
        <f>BuildSchedule!C56</f>
        <v>0.83414100000000002</v>
      </c>
      <c r="E61" s="59">
        <f t="shared" si="0"/>
        <v>208</v>
      </c>
      <c r="F61" s="48">
        <f t="shared" si="1"/>
        <v>4.908026755852843</v>
      </c>
      <c r="G61" s="48">
        <f t="shared" si="2"/>
        <v>4.0939863461538462</v>
      </c>
      <c r="H61" s="42">
        <f>BuildSchedule!D56</f>
        <v>0.1</v>
      </c>
      <c r="I61" s="42">
        <f>BuildSchedule!E56</f>
        <v>1</v>
      </c>
    </row>
    <row r="62" spans="2:9" x14ac:dyDescent="0.2">
      <c r="B62" s="42" t="str">
        <f>BuildSchedule!A67</f>
        <v>Twizel control</v>
      </c>
      <c r="C62" s="42">
        <f>BuildSchedule!B67</f>
        <v>1979</v>
      </c>
      <c r="D62" s="45">
        <f>BuildSchedule!C67</f>
        <v>7.61585</v>
      </c>
      <c r="E62" s="59">
        <f t="shared" si="0"/>
        <v>208</v>
      </c>
      <c r="F62" s="48">
        <f t="shared" si="1"/>
        <v>4.908026755852843</v>
      </c>
      <c r="G62" s="48">
        <f t="shared" si="2"/>
        <v>37.378795568561877</v>
      </c>
      <c r="H62" s="42">
        <f>BuildSchedule!D67</f>
        <v>0.1</v>
      </c>
      <c r="I62" s="42">
        <f>BuildSchedule!E67</f>
        <v>0.1</v>
      </c>
    </row>
    <row r="63" spans="2:9" x14ac:dyDescent="0.2">
      <c r="B63" s="42" t="str">
        <f>BuildSchedule!A68</f>
        <v>Upper Waitaki control</v>
      </c>
      <c r="C63" s="42">
        <f>BuildSchedule!B68</f>
        <v>1979</v>
      </c>
      <c r="D63" s="45">
        <f>BuildSchedule!C68</f>
        <v>7.7456120000000004</v>
      </c>
      <c r="E63" s="59">
        <f t="shared" si="0"/>
        <v>208</v>
      </c>
      <c r="F63" s="48">
        <f t="shared" si="1"/>
        <v>4.908026755852843</v>
      </c>
      <c r="G63" s="48">
        <f t="shared" si="2"/>
        <v>38.015670936454853</v>
      </c>
      <c r="H63" s="42">
        <f>BuildSchedule!D68</f>
        <v>0.1</v>
      </c>
      <c r="I63" s="42">
        <f>BuildSchedule!E68</f>
        <v>0.1</v>
      </c>
    </row>
    <row r="64" spans="2:9" x14ac:dyDescent="0.2">
      <c r="B64" s="42" t="str">
        <f>BuildSchedule!A63</f>
        <v>Ohau A</v>
      </c>
      <c r="C64" s="42">
        <f>BuildSchedule!B63</f>
        <v>1980</v>
      </c>
      <c r="D64" s="45">
        <f>BuildSchedule!C63</f>
        <v>152.688593</v>
      </c>
      <c r="E64" s="59">
        <f t="shared" si="0"/>
        <v>246</v>
      </c>
      <c r="F64" s="48">
        <f t="shared" si="1"/>
        <v>4.14987628137151</v>
      </c>
      <c r="G64" s="48">
        <f t="shared" si="2"/>
        <v>633.63877052668795</v>
      </c>
      <c r="H64" s="42">
        <f>BuildSchedule!D63</f>
        <v>264</v>
      </c>
      <c r="I64" s="42">
        <f>BuildSchedule!E63</f>
        <v>1150</v>
      </c>
    </row>
    <row r="65" spans="2:14" x14ac:dyDescent="0.2">
      <c r="B65" s="42" t="str">
        <f>BuildSchedule!A4</f>
        <v>Rangipo</v>
      </c>
      <c r="C65" s="42">
        <f>BuildSchedule!B4</f>
        <v>1983</v>
      </c>
      <c r="D65" s="45">
        <f>BuildSchedule!C4</f>
        <v>285.39444200000003</v>
      </c>
      <c r="E65" s="59">
        <f t="shared" si="0"/>
        <v>370</v>
      </c>
      <c r="F65" s="48">
        <f t="shared" si="1"/>
        <v>2.7591069330199769</v>
      </c>
      <c r="G65" s="48">
        <f t="shared" si="2"/>
        <v>787.43378356756773</v>
      </c>
      <c r="H65" s="42">
        <f>BuildSchedule!D4</f>
        <v>120</v>
      </c>
      <c r="I65" s="42">
        <f>BuildSchedule!E4</f>
        <v>580</v>
      </c>
    </row>
    <row r="66" spans="2:14" x14ac:dyDescent="0.2">
      <c r="B66" s="42" t="str">
        <f>BuildSchedule!A88</f>
        <v>Huntly</v>
      </c>
      <c r="C66" s="42">
        <f>BuildSchedule!B88</f>
        <v>1983</v>
      </c>
      <c r="D66" s="45">
        <f>BuildSchedule!C88</f>
        <v>722.89753800000005</v>
      </c>
      <c r="E66" s="59">
        <f t="shared" si="0"/>
        <v>370</v>
      </c>
      <c r="F66" s="48">
        <f t="shared" si="1"/>
        <v>2.7591069330199769</v>
      </c>
      <c r="G66" s="48">
        <f t="shared" si="2"/>
        <v>1994.5516089588723</v>
      </c>
      <c r="H66" s="42">
        <f>BuildSchedule!D88</f>
        <v>1000</v>
      </c>
      <c r="I66" s="42">
        <f>BuildSchedule!E88</f>
        <v>5695</v>
      </c>
    </row>
    <row r="67" spans="2:14" x14ac:dyDescent="0.2">
      <c r="B67" s="42" t="str">
        <f>BuildSchedule!A64</f>
        <v>Ohau B</v>
      </c>
      <c r="C67" s="42">
        <f>BuildSchedule!B64</f>
        <v>1984</v>
      </c>
      <c r="D67" s="45">
        <f>BuildSchedule!C64</f>
        <v>145.265075</v>
      </c>
      <c r="E67" s="59">
        <f t="shared" si="0"/>
        <v>383</v>
      </c>
      <c r="F67" s="48">
        <f t="shared" si="1"/>
        <v>2.6654557838574187</v>
      </c>
      <c r="G67" s="48">
        <f t="shared" si="2"/>
        <v>387.19763435123173</v>
      </c>
      <c r="H67" s="42">
        <f>BuildSchedule!D64</f>
        <v>212</v>
      </c>
      <c r="I67" s="42">
        <f>BuildSchedule!E64</f>
        <v>970</v>
      </c>
    </row>
    <row r="68" spans="2:14" x14ac:dyDescent="0.2">
      <c r="B68" s="43" t="str">
        <f>BuildSchedule!A65</f>
        <v>Ohau C</v>
      </c>
      <c r="C68" s="43">
        <f>BuildSchedule!B65</f>
        <v>1985</v>
      </c>
      <c r="D68" s="46">
        <f>BuildSchedule!C65</f>
        <v>98.347781999999995</v>
      </c>
      <c r="E68" s="60">
        <f t="shared" si="0"/>
        <v>434</v>
      </c>
      <c r="F68" s="49">
        <f t="shared" si="1"/>
        <v>2.3522340212382291</v>
      </c>
      <c r="G68" s="49">
        <f t="shared" si="2"/>
        <v>231.33699873372072</v>
      </c>
      <c r="H68" s="43">
        <f>BuildSchedule!D65</f>
        <v>212</v>
      </c>
      <c r="I68" s="43">
        <f>BuildSchedule!E65</f>
        <v>970</v>
      </c>
    </row>
    <row r="69" spans="2:14" x14ac:dyDescent="0.2">
      <c r="B69" s="41" t="str">
        <f>BuildSchedule!A71</f>
        <v>Marsden B</v>
      </c>
      <c r="C69" s="41">
        <f>BuildSchedule!B71</f>
        <v>1979</v>
      </c>
      <c r="D69" s="44">
        <f>BuildSchedule!C71</f>
        <v>115.75005</v>
      </c>
      <c r="E69" s="58">
        <f>VLOOKUP(C69,CPI,2,TRUE)</f>
        <v>208</v>
      </c>
      <c r="F69" s="47">
        <f>G$2/E69</f>
        <v>4.908026755852843</v>
      </c>
      <c r="G69" s="47">
        <f>F69*D69</f>
        <v>568.10434239130439</v>
      </c>
      <c r="H69" s="41">
        <f>BuildSchedule!D71</f>
        <v>250</v>
      </c>
      <c r="I69" s="41">
        <f>BuildSchedule!E71</f>
        <v>1000</v>
      </c>
      <c r="N69" s="23"/>
    </row>
    <row r="70" spans="2:14" x14ac:dyDescent="0.2">
      <c r="B70" s="42" t="str">
        <f>BuildSchedule!A72</f>
        <v>Marsden B Retirement</v>
      </c>
      <c r="C70" s="42">
        <f>BuildSchedule!B72</f>
        <v>1979</v>
      </c>
      <c r="D70" s="45">
        <f>BuildSchedule!C72</f>
        <v>0</v>
      </c>
      <c r="E70" s="59">
        <f>VLOOKUP(C70,CPI,2,TRUE)</f>
        <v>208</v>
      </c>
      <c r="F70" s="48">
        <f>G$2/E70</f>
        <v>4.908026755852843</v>
      </c>
      <c r="G70" s="48">
        <f>F70*D70</f>
        <v>0</v>
      </c>
      <c r="H70" s="42">
        <f>BuildSchedule!D72</f>
        <v>-250</v>
      </c>
      <c r="I70" s="42">
        <f>BuildSchedule!E72</f>
        <v>-1000</v>
      </c>
      <c r="N70" s="23"/>
    </row>
    <row r="71" spans="2:14" x14ac:dyDescent="0.2">
      <c r="B71" s="42" t="str">
        <f>BuildSchedule!A73</f>
        <v>Otahuhu A</v>
      </c>
      <c r="C71" s="42">
        <f>BuildSchedule!B73</f>
        <v>1968</v>
      </c>
      <c r="D71" s="45">
        <f>BuildSchedule!C73</f>
        <v>15.694708</v>
      </c>
      <c r="E71" s="59">
        <f>VLOOKUP(C71,CPI,2,TRUE)</f>
        <v>71</v>
      </c>
      <c r="F71" s="48">
        <f>G$2/E71</f>
        <v>14.378444580526638</v>
      </c>
      <c r="G71" s="48">
        <f>F71*D71</f>
        <v>225.66548918554807</v>
      </c>
      <c r="H71" s="42">
        <f>BuildSchedule!D73</f>
        <v>180</v>
      </c>
      <c r="I71" s="42">
        <f>BuildSchedule!E73</f>
        <v>600</v>
      </c>
    </row>
    <row r="72" spans="2:14" x14ac:dyDescent="0.2">
      <c r="B72" s="42" t="str">
        <f>BuildSchedule!A74</f>
        <v>Otahuhu A Stage 2</v>
      </c>
      <c r="C72" s="42">
        <f>BuildSchedule!B74</f>
        <v>1978</v>
      </c>
      <c r="D72" s="45">
        <f>BuildSchedule!C74</f>
        <v>12.23354</v>
      </c>
      <c r="E72" s="59">
        <f>VLOOKUP(C72,CPI,2,TRUE)</f>
        <v>188</v>
      </c>
      <c r="F72" s="48">
        <f>G$2/E72</f>
        <v>5.4301572617946352</v>
      </c>
      <c r="G72" s="48">
        <f>F72*D72</f>
        <v>66.430046068455141</v>
      </c>
      <c r="H72" s="42">
        <f>BuildSchedule!D74</f>
        <v>90</v>
      </c>
      <c r="I72" s="42">
        <f>BuildSchedule!E74</f>
        <v>300</v>
      </c>
    </row>
    <row r="73" spans="2:14" x14ac:dyDescent="0.2">
      <c r="B73" s="43" t="str">
        <f>BuildSchedule!A75</f>
        <v>Otahuhu A Retirement</v>
      </c>
      <c r="C73" s="43">
        <f>BuildSchedule!B75</f>
        <v>1987</v>
      </c>
      <c r="D73" s="46">
        <f>BuildSchedule!C75</f>
        <v>0</v>
      </c>
      <c r="E73" s="60">
        <f>VLOOKUP(C73,CPI,2,TRUE)</f>
        <v>552.38095238095241</v>
      </c>
      <c r="F73" s="49">
        <f>G$2/E73</f>
        <v>1.8481259370314842</v>
      </c>
      <c r="G73" s="49">
        <f>F73*D73</f>
        <v>0</v>
      </c>
      <c r="H73" s="43">
        <f>BuildSchedule!D75</f>
        <v>-270</v>
      </c>
      <c r="I73" s="43">
        <f>BuildSchedule!E75</f>
        <v>-900</v>
      </c>
    </row>
    <row r="74" spans="2:14" x14ac:dyDescent="0.2">
      <c r="E74" s="57"/>
    </row>
    <row r="75" spans="2:14" x14ac:dyDescent="0.2">
      <c r="E75" s="57"/>
      <c r="N75" s="23"/>
    </row>
    <row r="76" spans="2:14" x14ac:dyDescent="0.2">
      <c r="B76" s="50" t="s">
        <v>310</v>
      </c>
      <c r="D76" s="20"/>
      <c r="E76" s="57"/>
      <c r="F76" s="23"/>
      <c r="G76" s="23"/>
    </row>
    <row r="77" spans="2:14" x14ac:dyDescent="0.2">
      <c r="D77" s="20"/>
      <c r="E77" s="57"/>
      <c r="F77" s="23"/>
      <c r="G77" s="23"/>
    </row>
    <row r="78" spans="2:14" x14ac:dyDescent="0.2">
      <c r="B78" s="40" t="s">
        <v>119</v>
      </c>
      <c r="C78" s="40" t="s">
        <v>120</v>
      </c>
      <c r="D78" s="40" t="s">
        <v>303</v>
      </c>
      <c r="E78" s="40" t="s">
        <v>318</v>
      </c>
      <c r="F78" s="40" t="s">
        <v>305</v>
      </c>
      <c r="G78" s="40" t="s">
        <v>304</v>
      </c>
      <c r="H78" s="40" t="s">
        <v>307</v>
      </c>
      <c r="I78" s="40" t="s">
        <v>306</v>
      </c>
    </row>
    <row r="79" spans="2:14" x14ac:dyDescent="0.2">
      <c r="B79" s="41" t="str">
        <f>BuildSchedule!A19</f>
        <v>Arapuni Stage 4</v>
      </c>
      <c r="C79" s="41">
        <f>BuildSchedule!B19</f>
        <v>1990</v>
      </c>
      <c r="D79" s="44">
        <f>BuildSchedule!C19</f>
        <v>50</v>
      </c>
      <c r="E79" s="58">
        <f t="shared" ref="E79:E95" si="3">VLOOKUP(C79,CPI,2,TRUE)</f>
        <v>625.77777777777783</v>
      </c>
      <c r="F79" s="47">
        <f t="shared" ref="F79:F95" si="4">G$2/E79</f>
        <v>1.631361166007905</v>
      </c>
      <c r="G79" s="47">
        <f t="shared" ref="G79:G95" si="5">F79*D79</f>
        <v>81.568058300395251</v>
      </c>
      <c r="H79" s="41">
        <f>BuildSchedule!D19</f>
        <v>31</v>
      </c>
      <c r="I79" s="41">
        <f>BuildSchedule!E19</f>
        <v>5</v>
      </c>
    </row>
    <row r="80" spans="2:14" x14ac:dyDescent="0.2">
      <c r="B80" s="42" t="str">
        <f>BuildSchedule!A78</f>
        <v>Meremere Retirement</v>
      </c>
      <c r="C80" s="42">
        <f>BuildSchedule!B78</f>
        <v>1991</v>
      </c>
      <c r="D80" s="45">
        <f>BuildSchedule!C78</f>
        <v>0</v>
      </c>
      <c r="E80" s="59">
        <f t="shared" si="3"/>
        <v>654.22222222222217</v>
      </c>
      <c r="F80" s="48">
        <f t="shared" si="4"/>
        <v>1.5604324196597357</v>
      </c>
      <c r="G80" s="48">
        <f t="shared" si="5"/>
        <v>0</v>
      </c>
      <c r="H80" s="42">
        <f>BuildSchedule!D78</f>
        <v>-210</v>
      </c>
      <c r="I80" s="42">
        <f>BuildSchedule!E78</f>
        <v>-1100</v>
      </c>
    </row>
    <row r="81" spans="2:14" x14ac:dyDescent="0.2">
      <c r="B81" s="42" t="str">
        <f>BuildSchedule!A66</f>
        <v>Clyde</v>
      </c>
      <c r="C81" s="42">
        <f>BuildSchedule!B66</f>
        <v>1992</v>
      </c>
      <c r="D81" s="45">
        <f>BuildSchedule!C66</f>
        <v>1700</v>
      </c>
      <c r="E81" s="59">
        <f t="shared" si="3"/>
        <v>658.66666666666663</v>
      </c>
      <c r="F81" s="48">
        <f t="shared" si="4"/>
        <v>1.5499031860587926</v>
      </c>
      <c r="G81" s="48">
        <f t="shared" si="5"/>
        <v>2634.8354162999476</v>
      </c>
      <c r="H81" s="42">
        <f>BuildSchedule!D66</f>
        <v>432</v>
      </c>
      <c r="I81" s="42">
        <f>BuildSchedule!E66</f>
        <v>2050</v>
      </c>
    </row>
    <row r="82" spans="2:14" x14ac:dyDescent="0.2">
      <c r="B82" s="42" t="str">
        <f>BuildSchedule!A30</f>
        <v>Mangahao Stage 2</v>
      </c>
      <c r="C82" s="42">
        <f>BuildSchedule!B30</f>
        <v>1994</v>
      </c>
      <c r="D82" s="45">
        <f>BuildSchedule!C30</f>
        <v>17</v>
      </c>
      <c r="E82" s="59">
        <f t="shared" si="3"/>
        <v>673.77777777777783</v>
      </c>
      <c r="F82" s="48">
        <f t="shared" si="4"/>
        <v>1.5151428243661811</v>
      </c>
      <c r="G82" s="48">
        <f t="shared" si="5"/>
        <v>25.757428014225077</v>
      </c>
      <c r="H82" s="42">
        <f>BuildSchedule!D30</f>
        <v>14.2</v>
      </c>
      <c r="I82" s="42">
        <f>BuildSchedule!E30</f>
        <v>26</v>
      </c>
    </row>
    <row r="83" spans="2:14" x14ac:dyDescent="0.2">
      <c r="B83" s="42" t="str">
        <f>BuildSchedule!A6</f>
        <v>Tongariro control (incl. Tokaanu) Stage 2</v>
      </c>
      <c r="C83" s="42">
        <f>BuildSchedule!B6</f>
        <v>1996</v>
      </c>
      <c r="D83" s="45">
        <f>BuildSchedule!C6</f>
        <v>25</v>
      </c>
      <c r="E83" s="59">
        <f t="shared" si="3"/>
        <v>716.44444444444446</v>
      </c>
      <c r="F83" s="48">
        <f t="shared" si="4"/>
        <v>1.4249109936346964</v>
      </c>
      <c r="G83" s="48">
        <f t="shared" si="5"/>
        <v>35.622774840867407</v>
      </c>
      <c r="H83" s="42">
        <f>BuildSchedule!D6</f>
        <v>40</v>
      </c>
      <c r="I83" s="42">
        <f>BuildSchedule!E6</f>
        <v>100</v>
      </c>
    </row>
    <row r="84" spans="2:14" x14ac:dyDescent="0.2">
      <c r="B84" s="42" t="str">
        <f>BuildSchedule!A70</f>
        <v>Marsden A Retirement</v>
      </c>
      <c r="C84" s="42">
        <f>BuildSchedule!B70</f>
        <v>1997</v>
      </c>
      <c r="D84" s="45">
        <f>BuildSchedule!C70</f>
        <v>0</v>
      </c>
      <c r="E84" s="59">
        <f t="shared" si="3"/>
        <v>729.77777777777783</v>
      </c>
      <c r="F84" s="48">
        <f t="shared" si="4"/>
        <v>1.3988772970396652</v>
      </c>
      <c r="G84" s="48">
        <f t="shared" si="5"/>
        <v>0</v>
      </c>
      <c r="H84" s="42">
        <f>BuildSchedule!D70</f>
        <v>-240</v>
      </c>
      <c r="I84" s="42">
        <f>BuildSchedule!E70</f>
        <v>-400</v>
      </c>
    </row>
    <row r="85" spans="2:14" x14ac:dyDescent="0.2">
      <c r="B85" s="42" t="str">
        <f>BuildSchedule!A23</f>
        <v>Matahina Stage 2</v>
      </c>
      <c r="C85" s="42">
        <f>BuildSchedule!B23</f>
        <v>1998</v>
      </c>
      <c r="D85" s="45">
        <f>BuildSchedule!C23</f>
        <v>60</v>
      </c>
      <c r="E85" s="59">
        <f t="shared" si="3"/>
        <v>738.66666666666663</v>
      </c>
      <c r="F85" s="48">
        <f t="shared" si="4"/>
        <v>1.3820436352221004</v>
      </c>
      <c r="G85" s="48">
        <f t="shared" si="5"/>
        <v>82.922618113326024</v>
      </c>
      <c r="H85" s="42">
        <f>BuildSchedule!D23</f>
        <v>0.1</v>
      </c>
      <c r="I85" s="42">
        <f>BuildSchedule!E23</f>
        <v>0.1</v>
      </c>
    </row>
    <row r="86" spans="2:14" x14ac:dyDescent="0.2">
      <c r="B86" s="42" t="str">
        <f>BuildSchedule!A54</f>
        <v>Lake Coleridge Stage 7</v>
      </c>
      <c r="C86" s="42">
        <f>BuildSchedule!B54</f>
        <v>2000</v>
      </c>
      <c r="D86" s="45">
        <f>BuildSchedule!C54</f>
        <v>6</v>
      </c>
      <c r="E86" s="59">
        <f t="shared" si="3"/>
        <v>749.33333333333337</v>
      </c>
      <c r="F86" s="48">
        <f t="shared" si="4"/>
        <v>1.3623704162153798</v>
      </c>
      <c r="G86" s="48">
        <f t="shared" si="5"/>
        <v>8.1742224972922788</v>
      </c>
      <c r="H86" s="42">
        <f>BuildSchedule!D54</f>
        <v>4.5</v>
      </c>
      <c r="I86" s="42">
        <f>BuildSchedule!E54</f>
        <v>65</v>
      </c>
    </row>
    <row r="87" spans="2:14" x14ac:dyDescent="0.2">
      <c r="B87" s="42" t="str">
        <f>BuildSchedule!A85</f>
        <v>Stratford Retirement</v>
      </c>
      <c r="C87" s="42">
        <f>BuildSchedule!B85</f>
        <v>2001</v>
      </c>
      <c r="D87" s="45">
        <f>BuildSchedule!C85</f>
        <v>0</v>
      </c>
      <c r="E87" s="59">
        <f t="shared" si="3"/>
        <v>772.44444444444446</v>
      </c>
      <c r="F87" s="48">
        <f t="shared" si="4"/>
        <v>1.321609045879822</v>
      </c>
      <c r="G87" s="48">
        <f t="shared" si="5"/>
        <v>0</v>
      </c>
      <c r="H87" s="42">
        <f>BuildSchedule!D85</f>
        <v>-200</v>
      </c>
      <c r="I87" s="42">
        <f>BuildSchedule!E85</f>
        <v>-400</v>
      </c>
    </row>
    <row r="88" spans="2:14" x14ac:dyDescent="0.2">
      <c r="B88" s="42" t="str">
        <f>BuildSchedule!A87</f>
        <v>Whirinaki 1 Retirement</v>
      </c>
      <c r="C88" s="42">
        <f>BuildSchedule!B87</f>
        <v>2001</v>
      </c>
      <c r="D88" s="45">
        <f>BuildSchedule!C87</f>
        <v>0</v>
      </c>
      <c r="E88" s="59">
        <f t="shared" si="3"/>
        <v>772.44444444444446</v>
      </c>
      <c r="F88" s="48">
        <f t="shared" si="4"/>
        <v>1.321609045879822</v>
      </c>
      <c r="G88" s="48">
        <f t="shared" si="5"/>
        <v>0</v>
      </c>
      <c r="H88" s="42">
        <f>BuildSchedule!D87</f>
        <v>-220</v>
      </c>
      <c r="I88" s="42">
        <f>BuildSchedule!E87</f>
        <v>-500</v>
      </c>
    </row>
    <row r="89" spans="2:14" x14ac:dyDescent="0.2">
      <c r="B89" s="42" t="str">
        <f>BuildSchedule!A60</f>
        <v>Manapouri Stage 2</v>
      </c>
      <c r="C89" s="42">
        <f>BuildSchedule!B60</f>
        <v>2002</v>
      </c>
      <c r="D89" s="45">
        <f>BuildSchedule!C60</f>
        <v>210.26499999999999</v>
      </c>
      <c r="E89" s="59">
        <f t="shared" si="3"/>
        <v>792</v>
      </c>
      <c r="F89" s="48">
        <f t="shared" si="4"/>
        <v>1.2889767237593326</v>
      </c>
      <c r="G89" s="48">
        <f t="shared" si="5"/>
        <v>271.02669082125607</v>
      </c>
      <c r="H89" s="42">
        <f>BuildSchedule!D60</f>
        <v>125</v>
      </c>
      <c r="I89" s="42">
        <f>BuildSchedule!E60</f>
        <v>1</v>
      </c>
    </row>
    <row r="90" spans="2:14" x14ac:dyDescent="0.2">
      <c r="B90" s="42" t="str">
        <f>BuildSchedule!A31</f>
        <v>Mangahao Stage 3</v>
      </c>
      <c r="C90" s="42">
        <f>BuildSchedule!B31</f>
        <v>2004</v>
      </c>
      <c r="D90" s="45">
        <f>BuildSchedule!C31</f>
        <v>15</v>
      </c>
      <c r="E90" s="59">
        <f t="shared" si="3"/>
        <v>824.88888888888891</v>
      </c>
      <c r="F90" s="48">
        <f t="shared" si="4"/>
        <v>1.2375843328335832</v>
      </c>
      <c r="G90" s="48">
        <f t="shared" si="5"/>
        <v>18.563764992503746</v>
      </c>
      <c r="H90" s="42">
        <f>BuildSchedule!D31</f>
        <v>4</v>
      </c>
      <c r="I90" s="42">
        <f>BuildSchedule!E31</f>
        <v>10</v>
      </c>
    </row>
    <row r="91" spans="2:14" x14ac:dyDescent="0.2">
      <c r="B91" s="42" t="str">
        <f>BuildSchedule!A81</f>
        <v>Wairakei Stage 3</v>
      </c>
      <c r="C91" s="42">
        <f>BuildSchedule!B81</f>
        <v>2005</v>
      </c>
      <c r="D91" s="45">
        <f>BuildSchedule!C81</f>
        <v>70</v>
      </c>
      <c r="E91" s="59">
        <f t="shared" si="3"/>
        <v>847.11111111111109</v>
      </c>
      <c r="F91" s="48">
        <f t="shared" si="4"/>
        <v>1.2051188466627127</v>
      </c>
      <c r="G91" s="48">
        <f t="shared" si="5"/>
        <v>84.358319266389898</v>
      </c>
      <c r="H91" s="42">
        <f>BuildSchedule!D81</f>
        <v>14</v>
      </c>
      <c r="I91" s="42">
        <f>BuildSchedule!E81</f>
        <v>90</v>
      </c>
    </row>
    <row r="92" spans="2:14" x14ac:dyDescent="0.2">
      <c r="B92" s="42" t="str">
        <f>BuildSchedule!A20</f>
        <v>Arapuni Stage 5</v>
      </c>
      <c r="C92" s="42">
        <f>BuildSchedule!B20</f>
        <v>2007</v>
      </c>
      <c r="D92" s="45">
        <f>BuildSchedule!C20</f>
        <v>20</v>
      </c>
      <c r="E92" s="59">
        <f t="shared" si="3"/>
        <v>897.77777777777783</v>
      </c>
      <c r="F92" s="48">
        <f t="shared" si="4"/>
        <v>1.1371071889797675</v>
      </c>
      <c r="G92" s="48">
        <f t="shared" si="5"/>
        <v>22.742143779595349</v>
      </c>
      <c r="H92" s="42">
        <f>BuildSchedule!D20</f>
        <v>1</v>
      </c>
      <c r="I92" s="42">
        <f>BuildSchedule!E20</f>
        <v>0.1</v>
      </c>
    </row>
    <row r="93" spans="2:14" x14ac:dyDescent="0.2">
      <c r="B93" s="42" t="str">
        <f>BuildSchedule!A61</f>
        <v>Manapouri Stage 3</v>
      </c>
      <c r="C93" s="42">
        <f>BuildSchedule!B61</f>
        <v>2007</v>
      </c>
      <c r="D93" s="45">
        <f>BuildSchedule!C61</f>
        <v>90</v>
      </c>
      <c r="E93" s="59">
        <f t="shared" si="3"/>
        <v>897.77777777777783</v>
      </c>
      <c r="F93" s="48">
        <f t="shared" si="4"/>
        <v>1.1371071889797675</v>
      </c>
      <c r="G93" s="48">
        <f t="shared" si="5"/>
        <v>102.33964700817907</v>
      </c>
      <c r="H93" s="42">
        <f>BuildSchedule!D61</f>
        <v>140</v>
      </c>
      <c r="I93" s="42">
        <f>BuildSchedule!E61</f>
        <v>70</v>
      </c>
    </row>
    <row r="94" spans="2:14" x14ac:dyDescent="0.2">
      <c r="B94" s="42" t="str">
        <f>BuildSchedule!A37</f>
        <v>Benmore  Stage 2</v>
      </c>
      <c r="C94" s="42">
        <f>BuildSchedule!B37</f>
        <v>2010</v>
      </c>
      <c r="D94" s="45">
        <f>BuildSchedule!C37</f>
        <v>67</v>
      </c>
      <c r="E94" s="59">
        <f t="shared" si="3"/>
        <v>975.11111111111109</v>
      </c>
      <c r="F94" s="48">
        <f t="shared" si="4"/>
        <v>1.0469264000634142</v>
      </c>
      <c r="G94" s="48">
        <f t="shared" si="5"/>
        <v>70.144068804248747</v>
      </c>
      <c r="H94" s="42">
        <f>BuildSchedule!D37</f>
        <v>0.1</v>
      </c>
      <c r="I94" s="42">
        <f>BuildSchedule!E37</f>
        <v>70</v>
      </c>
    </row>
    <row r="95" spans="2:14" x14ac:dyDescent="0.2">
      <c r="B95" s="43" t="str">
        <f>BuildSchedule!A83</f>
        <v>New Plymouth Retirement</v>
      </c>
      <c r="C95" s="43">
        <f>BuildSchedule!B83</f>
        <v>2011</v>
      </c>
      <c r="D95" s="46">
        <f>BuildSchedule!C83</f>
        <v>0</v>
      </c>
      <c r="E95" s="60">
        <f t="shared" si="3"/>
        <v>1007.4725274725275</v>
      </c>
      <c r="F95" s="49">
        <f t="shared" si="4"/>
        <v>1.0132976705364596</v>
      </c>
      <c r="G95" s="49">
        <f t="shared" si="5"/>
        <v>0</v>
      </c>
      <c r="H95" s="43">
        <f>BuildSchedule!D83</f>
        <v>-600</v>
      </c>
      <c r="I95" s="43">
        <f>BuildSchedule!E83</f>
        <v>-700</v>
      </c>
    </row>
    <row r="96" spans="2:14" x14ac:dyDescent="0.2">
      <c r="D96" s="20"/>
      <c r="E96" s="57"/>
      <c r="F96" s="23"/>
      <c r="G96" s="23"/>
      <c r="N96" s="23"/>
    </row>
    <row r="97" spans="2:9" x14ac:dyDescent="0.2">
      <c r="D97" s="20"/>
      <c r="E97" s="57"/>
      <c r="F97" s="23"/>
      <c r="G97" s="23"/>
    </row>
    <row r="98" spans="2:9" x14ac:dyDescent="0.2">
      <c r="B98" s="50" t="s">
        <v>300</v>
      </c>
      <c r="D98" s="20"/>
      <c r="E98" s="57"/>
      <c r="F98" s="23"/>
      <c r="G98" s="23"/>
    </row>
    <row r="99" spans="2:9" x14ac:dyDescent="0.2">
      <c r="D99" s="20"/>
      <c r="E99" s="57"/>
      <c r="F99" s="23"/>
      <c r="G99" s="23"/>
    </row>
    <row r="100" spans="2:9" x14ac:dyDescent="0.2">
      <c r="B100" s="40" t="s">
        <v>119</v>
      </c>
      <c r="C100" s="40" t="s">
        <v>120</v>
      </c>
      <c r="D100" s="40" t="s">
        <v>303</v>
      </c>
      <c r="E100" s="40" t="s">
        <v>318</v>
      </c>
      <c r="F100" s="40" t="s">
        <v>305</v>
      </c>
      <c r="G100" s="40" t="s">
        <v>304</v>
      </c>
      <c r="H100" s="40" t="s">
        <v>307</v>
      </c>
      <c r="I100" s="40" t="s">
        <v>306</v>
      </c>
    </row>
    <row r="101" spans="2:9" x14ac:dyDescent="0.2">
      <c r="B101" s="41" t="str">
        <f>BuildSchedule!A89</f>
        <v>Kawerau - TPP</v>
      </c>
      <c r="C101" s="41">
        <f>BuildSchedule!B89</f>
        <v>1966</v>
      </c>
      <c r="D101" s="44">
        <f>BuildSchedule!C89</f>
        <v>2.2000000000000002</v>
      </c>
      <c r="E101" s="58">
        <f t="shared" ref="E101:E161" si="6">VLOOKUP(C101,CPI,2,TRUE)</f>
        <v>64</v>
      </c>
      <c r="F101" s="47">
        <f t="shared" ref="F101:F161" si="7">G$2/E101</f>
        <v>15.95108695652174</v>
      </c>
      <c r="G101" s="47">
        <f t="shared" ref="G101:G161" si="8">F101*D101</f>
        <v>35.092391304347828</v>
      </c>
      <c r="H101" s="41">
        <f>BuildSchedule!D89</f>
        <v>37</v>
      </c>
      <c r="I101" s="41">
        <f>BuildSchedule!E89</f>
        <v>271</v>
      </c>
    </row>
    <row r="102" spans="2:9" x14ac:dyDescent="0.2">
      <c r="B102" s="42" t="str">
        <f>BuildSchedule!A95</f>
        <v>Lloyd Mandeno</v>
      </c>
      <c r="C102" s="42">
        <f>BuildSchedule!B95</f>
        <v>1972</v>
      </c>
      <c r="D102" s="45">
        <f>BuildSchedule!C95</f>
        <v>9</v>
      </c>
      <c r="E102" s="59">
        <f t="shared" si="6"/>
        <v>93</v>
      </c>
      <c r="F102" s="48">
        <f t="shared" si="7"/>
        <v>10.977092099111735</v>
      </c>
      <c r="G102" s="48">
        <f t="shared" si="8"/>
        <v>98.793828892005607</v>
      </c>
      <c r="H102" s="42">
        <f>BuildSchedule!D95</f>
        <v>15.6</v>
      </c>
      <c r="I102" s="42">
        <f>BuildSchedule!E95</f>
        <v>70</v>
      </c>
    </row>
    <row r="103" spans="2:9" x14ac:dyDescent="0.2">
      <c r="B103" s="42" t="str">
        <f>BuildSchedule!A90</f>
        <v>Lower Mangapapa</v>
      </c>
      <c r="C103" s="42">
        <f>BuildSchedule!B90</f>
        <v>1976</v>
      </c>
      <c r="D103" s="45">
        <f>BuildSchedule!C90</f>
        <v>6.8040000000000003</v>
      </c>
      <c r="E103" s="59">
        <f t="shared" si="6"/>
        <v>145</v>
      </c>
      <c r="F103" s="48">
        <f t="shared" si="7"/>
        <v>7.0404797601199407</v>
      </c>
      <c r="G103" s="48">
        <f t="shared" si="8"/>
        <v>47.903424287856076</v>
      </c>
      <c r="H103" s="42">
        <f>BuildSchedule!D90</f>
        <v>6</v>
      </c>
      <c r="I103" s="42">
        <f>BuildSchedule!E90</f>
        <v>17</v>
      </c>
    </row>
    <row r="104" spans="2:9" x14ac:dyDescent="0.2">
      <c r="B104" s="42" t="str">
        <f>BuildSchedule!A91</f>
        <v>Aniwhenua</v>
      </c>
      <c r="C104" s="42">
        <f>BuildSchedule!B91</f>
        <v>1979</v>
      </c>
      <c r="D104" s="45">
        <f>BuildSchedule!C91</f>
        <v>27</v>
      </c>
      <c r="E104" s="59">
        <f t="shared" si="6"/>
        <v>208</v>
      </c>
      <c r="F104" s="48">
        <f t="shared" si="7"/>
        <v>4.908026755852843</v>
      </c>
      <c r="G104" s="48">
        <f t="shared" si="8"/>
        <v>132.51672240802677</v>
      </c>
      <c r="H104" s="42">
        <f>BuildSchedule!D91</f>
        <v>25</v>
      </c>
      <c r="I104" s="42">
        <f>BuildSchedule!E91</f>
        <v>105</v>
      </c>
    </row>
    <row r="105" spans="2:9" x14ac:dyDescent="0.2">
      <c r="B105" s="42" t="str">
        <f>BuildSchedule!A92</f>
        <v>Ruahihi</v>
      </c>
      <c r="C105" s="42">
        <f>BuildSchedule!B92</f>
        <v>1981</v>
      </c>
      <c r="D105" s="45">
        <f>BuildSchedule!C92</f>
        <v>27</v>
      </c>
      <c r="E105" s="59">
        <f t="shared" si="6"/>
        <v>284</v>
      </c>
      <c r="F105" s="48">
        <f t="shared" si="7"/>
        <v>3.5946111451316596</v>
      </c>
      <c r="G105" s="48">
        <f t="shared" si="8"/>
        <v>97.054500918554808</v>
      </c>
      <c r="H105" s="42">
        <f>BuildSchedule!D92</f>
        <v>20</v>
      </c>
      <c r="I105" s="42">
        <f>BuildSchedule!E92</f>
        <v>76</v>
      </c>
    </row>
    <row r="106" spans="2:9" x14ac:dyDescent="0.2">
      <c r="B106" s="42" t="str">
        <f>BuildSchedule!A93</f>
        <v>Wheao and Flaxy Scheme</v>
      </c>
      <c r="C106" s="42">
        <f>BuildSchedule!B93</f>
        <v>1982</v>
      </c>
      <c r="D106" s="45">
        <f>BuildSchedule!C93</f>
        <v>32</v>
      </c>
      <c r="E106" s="59">
        <f t="shared" si="6"/>
        <v>328</v>
      </c>
      <c r="F106" s="48">
        <f t="shared" si="7"/>
        <v>3.112407211028632</v>
      </c>
      <c r="G106" s="48">
        <f t="shared" si="8"/>
        <v>99.597030752916226</v>
      </c>
      <c r="H106" s="42">
        <f>BuildSchedule!D93</f>
        <v>24</v>
      </c>
      <c r="I106" s="42">
        <f>BuildSchedule!E93</f>
        <v>115</v>
      </c>
    </row>
    <row r="107" spans="2:9" x14ac:dyDescent="0.2">
      <c r="B107" s="42" t="str">
        <f>BuildSchedule!A94</f>
        <v>Teviot</v>
      </c>
      <c r="C107" s="42">
        <f>BuildSchedule!B94</f>
        <v>1983</v>
      </c>
      <c r="D107" s="45">
        <f>BuildSchedule!C94</f>
        <v>14</v>
      </c>
      <c r="E107" s="59">
        <f t="shared" si="6"/>
        <v>370</v>
      </c>
      <c r="F107" s="48">
        <f t="shared" si="7"/>
        <v>2.7591069330199769</v>
      </c>
      <c r="G107" s="48">
        <f t="shared" si="8"/>
        <v>38.627497062279673</v>
      </c>
      <c r="H107" s="42">
        <f>BuildSchedule!D94</f>
        <v>10.5</v>
      </c>
      <c r="I107" s="42">
        <f>BuildSchedule!E94</f>
        <v>55</v>
      </c>
    </row>
    <row r="108" spans="2:9" x14ac:dyDescent="0.2">
      <c r="B108" s="42" t="str">
        <f>BuildSchedule!A96</f>
        <v>Paerau</v>
      </c>
      <c r="C108" s="42">
        <f>BuildSchedule!B96</f>
        <v>1984</v>
      </c>
      <c r="D108" s="45">
        <f>BuildSchedule!C96</f>
        <v>14</v>
      </c>
      <c r="E108" s="59">
        <f t="shared" si="6"/>
        <v>383</v>
      </c>
      <c r="F108" s="48">
        <f t="shared" si="7"/>
        <v>2.6654557838574187</v>
      </c>
      <c r="G108" s="48">
        <f t="shared" si="8"/>
        <v>37.316380974003863</v>
      </c>
      <c r="H108" s="42">
        <f>BuildSchedule!D96</f>
        <v>10</v>
      </c>
      <c r="I108" s="42">
        <f>BuildSchedule!E96</f>
        <v>48</v>
      </c>
    </row>
    <row r="109" spans="2:9" x14ac:dyDescent="0.2">
      <c r="B109" s="42" t="str">
        <f>BuildSchedule!A97</f>
        <v>Patea</v>
      </c>
      <c r="C109" s="42">
        <f>BuildSchedule!B97</f>
        <v>1984</v>
      </c>
      <c r="D109" s="45">
        <f>BuildSchedule!C97</f>
        <v>69</v>
      </c>
      <c r="E109" s="59">
        <f t="shared" si="6"/>
        <v>383</v>
      </c>
      <c r="F109" s="48">
        <f t="shared" si="7"/>
        <v>2.6654557838574187</v>
      </c>
      <c r="G109" s="48">
        <f t="shared" si="8"/>
        <v>183.91644908616189</v>
      </c>
      <c r="H109" s="42">
        <f>BuildSchedule!D97</f>
        <v>30.7</v>
      </c>
      <c r="I109" s="42">
        <f>BuildSchedule!E97</f>
        <v>118</v>
      </c>
    </row>
    <row r="110" spans="2:9" x14ac:dyDescent="0.2">
      <c r="B110" s="42" t="str">
        <f>BuildSchedule!A107</f>
        <v>Glenbrook</v>
      </c>
      <c r="C110" s="42">
        <f>BuildSchedule!B107</f>
        <v>1987</v>
      </c>
      <c r="D110" s="45">
        <f>BuildSchedule!C107</f>
        <v>21</v>
      </c>
      <c r="E110" s="59">
        <f t="shared" si="6"/>
        <v>552.38095238095241</v>
      </c>
      <c r="F110" s="48">
        <f t="shared" si="7"/>
        <v>1.8481259370314842</v>
      </c>
      <c r="G110" s="48">
        <f t="shared" si="8"/>
        <v>38.810644677661166</v>
      </c>
      <c r="H110" s="42">
        <f>BuildSchedule!D107</f>
        <v>38</v>
      </c>
      <c r="I110" s="42">
        <f>BuildSchedule!E107</f>
        <v>190</v>
      </c>
    </row>
    <row r="111" spans="2:9" x14ac:dyDescent="0.2">
      <c r="B111" s="42" t="str">
        <f>BuildSchedule!A98</f>
        <v>Ohaaki</v>
      </c>
      <c r="C111" s="42">
        <f>BuildSchedule!B98</f>
        <v>1989</v>
      </c>
      <c r="D111" s="45">
        <f>BuildSchedule!C98</f>
        <v>300</v>
      </c>
      <c r="E111" s="59">
        <f t="shared" si="6"/>
        <v>598.18181818181813</v>
      </c>
      <c r="F111" s="48">
        <f t="shared" si="7"/>
        <v>1.7066208537068854</v>
      </c>
      <c r="G111" s="48">
        <f t="shared" si="8"/>
        <v>511.98625611206563</v>
      </c>
      <c r="H111" s="42">
        <f>BuildSchedule!D98</f>
        <v>116</v>
      </c>
      <c r="I111" s="42">
        <f>BuildSchedule!E98</f>
        <v>400</v>
      </c>
    </row>
    <row r="112" spans="2:9" x14ac:dyDescent="0.2">
      <c r="B112" s="42" t="str">
        <f>BuildSchedule!A99</f>
        <v>Te Awamutu - Anchor Products</v>
      </c>
      <c r="C112" s="42">
        <f>BuildSchedule!B99</f>
        <v>1995</v>
      </c>
      <c r="D112" s="45">
        <f>BuildSchedule!C99</f>
        <v>40</v>
      </c>
      <c r="E112" s="59">
        <f t="shared" si="6"/>
        <v>701.33333333333337</v>
      </c>
      <c r="F112" s="48">
        <f t="shared" si="7"/>
        <v>1.4556124979335427</v>
      </c>
      <c r="G112" s="48">
        <f t="shared" si="8"/>
        <v>58.22449991734171</v>
      </c>
      <c r="H112" s="42">
        <f>BuildSchedule!D99</f>
        <v>54</v>
      </c>
      <c r="I112" s="42">
        <f>BuildSchedule!E99</f>
        <v>190</v>
      </c>
    </row>
    <row r="113" spans="2:9" x14ac:dyDescent="0.2">
      <c r="B113" s="42" t="str">
        <f>BuildSchedule!A101</f>
        <v>Bay Milk Edgecumbe</v>
      </c>
      <c r="C113" s="42">
        <f>BuildSchedule!B101</f>
        <v>1996</v>
      </c>
      <c r="D113" s="45">
        <f>BuildSchedule!C101</f>
        <v>16</v>
      </c>
      <c r="E113" s="59">
        <f t="shared" si="6"/>
        <v>716.44444444444446</v>
      </c>
      <c r="F113" s="48">
        <f t="shared" si="7"/>
        <v>1.4249109936346964</v>
      </c>
      <c r="G113" s="48">
        <f t="shared" si="8"/>
        <v>22.798575898155143</v>
      </c>
      <c r="H113" s="42">
        <f>BuildSchedule!D101</f>
        <v>10</v>
      </c>
      <c r="I113" s="42">
        <f>BuildSchedule!E101</f>
        <v>54</v>
      </c>
    </row>
    <row r="114" spans="2:9" x14ac:dyDescent="0.2">
      <c r="B114" s="42" t="str">
        <f>BuildSchedule!A102</f>
        <v>Hau Nui</v>
      </c>
      <c r="C114" s="42">
        <f>BuildSchedule!B102</f>
        <v>1996</v>
      </c>
      <c r="D114" s="45">
        <f>BuildSchedule!C102</f>
        <v>10.5</v>
      </c>
      <c r="E114" s="59">
        <f t="shared" si="6"/>
        <v>716.44444444444446</v>
      </c>
      <c r="F114" s="48">
        <f t="shared" si="7"/>
        <v>1.4249109936346964</v>
      </c>
      <c r="G114" s="48">
        <f t="shared" si="8"/>
        <v>14.961565433164312</v>
      </c>
      <c r="H114" s="42">
        <f>BuildSchedule!D102</f>
        <v>3.65</v>
      </c>
      <c r="I114" s="42">
        <f>BuildSchedule!E102</f>
        <v>10</v>
      </c>
    </row>
    <row r="115" spans="2:9" x14ac:dyDescent="0.2">
      <c r="B115" s="42" t="str">
        <f>BuildSchedule!A104</f>
        <v>Kiwi Dairy, Hawera (Whareroa)</v>
      </c>
      <c r="C115" s="42">
        <f>BuildSchedule!B104</f>
        <v>1996</v>
      </c>
      <c r="D115" s="45">
        <f>BuildSchedule!C104</f>
        <v>70</v>
      </c>
      <c r="E115" s="59">
        <f t="shared" si="6"/>
        <v>716.44444444444446</v>
      </c>
      <c r="F115" s="48">
        <f t="shared" si="7"/>
        <v>1.4249109936346964</v>
      </c>
      <c r="G115" s="48">
        <f t="shared" si="8"/>
        <v>99.743769554428752</v>
      </c>
      <c r="H115" s="42">
        <f>BuildSchedule!D104</f>
        <v>69.599999999999994</v>
      </c>
      <c r="I115" s="42">
        <f>BuildSchedule!E104</f>
        <v>180</v>
      </c>
    </row>
    <row r="116" spans="2:9" x14ac:dyDescent="0.2">
      <c r="B116" s="42" t="str">
        <f>BuildSchedule!A105</f>
        <v>Southdown</v>
      </c>
      <c r="C116" s="42">
        <f>BuildSchedule!B105</f>
        <v>1996</v>
      </c>
      <c r="D116" s="45">
        <f>BuildSchedule!C105</f>
        <v>140</v>
      </c>
      <c r="E116" s="59">
        <f t="shared" si="6"/>
        <v>716.44444444444446</v>
      </c>
      <c r="F116" s="48">
        <f t="shared" si="7"/>
        <v>1.4249109936346964</v>
      </c>
      <c r="G116" s="48">
        <f t="shared" si="8"/>
        <v>199.4875391088575</v>
      </c>
      <c r="H116" s="42">
        <f>BuildSchedule!D105</f>
        <v>125</v>
      </c>
      <c r="I116" s="42">
        <f>BuildSchedule!E105</f>
        <v>600</v>
      </c>
    </row>
    <row r="117" spans="2:9" x14ac:dyDescent="0.2">
      <c r="B117" s="42" t="str">
        <f>BuildSchedule!A108</f>
        <v>Glenbrook Stage 2</v>
      </c>
      <c r="C117" s="42">
        <f>BuildSchedule!B108</f>
        <v>1997</v>
      </c>
      <c r="D117" s="45">
        <f>BuildSchedule!C108</f>
        <v>57</v>
      </c>
      <c r="E117" s="59">
        <f t="shared" si="6"/>
        <v>729.77777777777783</v>
      </c>
      <c r="F117" s="48">
        <f t="shared" si="7"/>
        <v>1.3988772970396652</v>
      </c>
      <c r="G117" s="48">
        <f t="shared" si="8"/>
        <v>79.73600593126092</v>
      </c>
      <c r="H117" s="42">
        <f>BuildSchedule!D108</f>
        <v>74</v>
      </c>
      <c r="I117" s="42">
        <f>BuildSchedule!E108</f>
        <v>360</v>
      </c>
    </row>
    <row r="118" spans="2:9" x14ac:dyDescent="0.2">
      <c r="B118" s="42" t="str">
        <f>BuildSchedule!A109</f>
        <v>Poihipi Rd</v>
      </c>
      <c r="C118" s="42">
        <f>BuildSchedule!B109</f>
        <v>1997</v>
      </c>
      <c r="D118" s="45">
        <f>BuildSchedule!C109</f>
        <v>78</v>
      </c>
      <c r="E118" s="59">
        <f t="shared" si="6"/>
        <v>729.77777777777783</v>
      </c>
      <c r="F118" s="48">
        <f t="shared" si="7"/>
        <v>1.3988772970396652</v>
      </c>
      <c r="G118" s="48">
        <f t="shared" si="8"/>
        <v>109.11242916909389</v>
      </c>
      <c r="H118" s="42">
        <f>BuildSchedule!D109</f>
        <v>55</v>
      </c>
      <c r="I118" s="42">
        <f>BuildSchedule!E109</f>
        <v>350</v>
      </c>
    </row>
    <row r="119" spans="2:9" x14ac:dyDescent="0.2">
      <c r="B119" s="42" t="str">
        <f>BuildSchedule!A110</f>
        <v>Rotokawa</v>
      </c>
      <c r="C119" s="42">
        <f>BuildSchedule!B110</f>
        <v>1997</v>
      </c>
      <c r="D119" s="45">
        <f>BuildSchedule!C110</f>
        <v>50</v>
      </c>
      <c r="E119" s="59">
        <f t="shared" si="6"/>
        <v>729.77777777777783</v>
      </c>
      <c r="F119" s="48">
        <f t="shared" si="7"/>
        <v>1.3988772970396652</v>
      </c>
      <c r="G119" s="48">
        <f t="shared" si="8"/>
        <v>69.943864851983264</v>
      </c>
      <c r="H119" s="42">
        <f>BuildSchedule!D110</f>
        <v>29</v>
      </c>
      <c r="I119" s="42">
        <f>BuildSchedule!E110</f>
        <v>240</v>
      </c>
    </row>
    <row r="120" spans="2:9" x14ac:dyDescent="0.2">
      <c r="B120" s="42" t="str">
        <f>BuildSchedule!A112</f>
        <v>Kapuni</v>
      </c>
      <c r="C120" s="42">
        <f>BuildSchedule!B112</f>
        <v>1998</v>
      </c>
      <c r="D120" s="45">
        <f>BuildSchedule!C112</f>
        <v>25</v>
      </c>
      <c r="E120" s="59">
        <f t="shared" si="6"/>
        <v>738.66666666666663</v>
      </c>
      <c r="F120" s="48">
        <f t="shared" si="7"/>
        <v>1.3820436352221004</v>
      </c>
      <c r="G120" s="48">
        <f t="shared" si="8"/>
        <v>34.551090880552508</v>
      </c>
      <c r="H120" s="42">
        <f>BuildSchedule!D112</f>
        <v>25</v>
      </c>
      <c r="I120" s="42">
        <f>BuildSchedule!E112</f>
        <v>130</v>
      </c>
    </row>
    <row r="121" spans="2:9" x14ac:dyDescent="0.2">
      <c r="B121" s="42" t="str">
        <f>BuildSchedule!A113</f>
        <v>Kinleith</v>
      </c>
      <c r="C121" s="42">
        <f>BuildSchedule!B113</f>
        <v>1998</v>
      </c>
      <c r="D121" s="45">
        <f>BuildSchedule!C113</f>
        <v>50</v>
      </c>
      <c r="E121" s="59">
        <f t="shared" si="6"/>
        <v>738.66666666666663</v>
      </c>
      <c r="F121" s="48">
        <f t="shared" si="7"/>
        <v>1.3820436352221004</v>
      </c>
      <c r="G121" s="48">
        <f t="shared" si="8"/>
        <v>69.102181761105015</v>
      </c>
      <c r="H121" s="42">
        <f>BuildSchedule!D113</f>
        <v>28</v>
      </c>
      <c r="I121" s="42">
        <f>BuildSchedule!E113</f>
        <v>250</v>
      </c>
    </row>
    <row r="122" spans="2:9" x14ac:dyDescent="0.2">
      <c r="B122" s="42" t="str">
        <f>BuildSchedule!A114</f>
        <v>Ngawha</v>
      </c>
      <c r="C122" s="42">
        <f>BuildSchedule!B114</f>
        <v>1998</v>
      </c>
      <c r="D122" s="45">
        <f>BuildSchedule!C114</f>
        <v>40</v>
      </c>
      <c r="E122" s="59">
        <f t="shared" si="6"/>
        <v>738.66666666666663</v>
      </c>
      <c r="F122" s="48">
        <f t="shared" si="7"/>
        <v>1.3820436352221004</v>
      </c>
      <c r="G122" s="48">
        <f t="shared" si="8"/>
        <v>55.281745408884014</v>
      </c>
      <c r="H122" s="42">
        <f>BuildSchedule!D114</f>
        <v>10</v>
      </c>
      <c r="I122" s="42">
        <f>BuildSchedule!E114</f>
        <v>80</v>
      </c>
    </row>
    <row r="123" spans="2:9" x14ac:dyDescent="0.2">
      <c r="B123" s="42" t="str">
        <f>BuildSchedule!A116</f>
        <v>TCC - Taranaki Combined Cycle</v>
      </c>
      <c r="C123" s="42">
        <f>BuildSchedule!B116</f>
        <v>1998</v>
      </c>
      <c r="D123" s="45">
        <f>BuildSchedule!C116</f>
        <v>400</v>
      </c>
      <c r="E123" s="59">
        <f t="shared" si="6"/>
        <v>738.66666666666663</v>
      </c>
      <c r="F123" s="48">
        <f t="shared" si="7"/>
        <v>1.3820436352221004</v>
      </c>
      <c r="G123" s="48">
        <f t="shared" si="8"/>
        <v>552.81745408884012</v>
      </c>
      <c r="H123" s="42">
        <f>BuildSchedule!D116</f>
        <v>385</v>
      </c>
      <c r="I123" s="42">
        <f>BuildSchedule!E116</f>
        <v>2200</v>
      </c>
    </row>
    <row r="124" spans="2:9" x14ac:dyDescent="0.2">
      <c r="B124" s="42" t="str">
        <f>BuildSchedule!A117</f>
        <v>Opuha</v>
      </c>
      <c r="C124" s="42">
        <f>BuildSchedule!B117</f>
        <v>1999</v>
      </c>
      <c r="D124" s="45">
        <f>BuildSchedule!C117</f>
        <v>30.5</v>
      </c>
      <c r="E124" s="59">
        <f t="shared" si="6"/>
        <v>737.77777777777783</v>
      </c>
      <c r="F124" s="48">
        <f t="shared" si="7"/>
        <v>1.3837087480356207</v>
      </c>
      <c r="G124" s="48">
        <f t="shared" si="8"/>
        <v>42.203116815086432</v>
      </c>
      <c r="H124" s="42">
        <f>BuildSchedule!D117</f>
        <v>7.5</v>
      </c>
      <c r="I124" s="42">
        <f>BuildSchedule!E117</f>
        <v>21</v>
      </c>
    </row>
    <row r="125" spans="2:9" x14ac:dyDescent="0.2">
      <c r="B125" s="42" t="str">
        <f>BuildSchedule!A118</f>
        <v>Tararua</v>
      </c>
      <c r="C125" s="42">
        <f>BuildSchedule!B118</f>
        <v>1999</v>
      </c>
      <c r="D125" s="45">
        <f>BuildSchedule!C118</f>
        <v>50</v>
      </c>
      <c r="E125" s="59">
        <f t="shared" si="6"/>
        <v>737.77777777777783</v>
      </c>
      <c r="F125" s="48">
        <f t="shared" si="7"/>
        <v>1.3837087480356207</v>
      </c>
      <c r="G125" s="48">
        <f t="shared" si="8"/>
        <v>69.18543740178103</v>
      </c>
      <c r="H125" s="42">
        <f>BuildSchedule!D118</f>
        <v>31.7</v>
      </c>
      <c r="I125" s="42">
        <f>BuildSchedule!E118</f>
        <v>128</v>
      </c>
    </row>
    <row r="126" spans="2:9" x14ac:dyDescent="0.2">
      <c r="B126" s="42" t="str">
        <f>BuildSchedule!A119</f>
        <v>Te Rapa</v>
      </c>
      <c r="C126" s="42">
        <f>BuildSchedule!B119</f>
        <v>1999</v>
      </c>
      <c r="D126" s="45">
        <f>BuildSchedule!C119</f>
        <v>34</v>
      </c>
      <c r="E126" s="59">
        <f t="shared" si="6"/>
        <v>737.77777777777783</v>
      </c>
      <c r="F126" s="48">
        <f t="shared" si="7"/>
        <v>1.3837087480356207</v>
      </c>
      <c r="G126" s="48">
        <f t="shared" si="8"/>
        <v>47.046097433211102</v>
      </c>
      <c r="H126" s="42">
        <f>BuildSchedule!D119</f>
        <v>44</v>
      </c>
      <c r="I126" s="42">
        <f>BuildSchedule!E119</f>
        <v>200</v>
      </c>
    </row>
    <row r="127" spans="2:9" x14ac:dyDescent="0.2">
      <c r="B127" s="42" t="str">
        <f>BuildSchedule!A120</f>
        <v>Mokai</v>
      </c>
      <c r="C127" s="42">
        <f>BuildSchedule!B120</f>
        <v>2000</v>
      </c>
      <c r="D127" s="45">
        <f>BuildSchedule!C120</f>
        <v>225</v>
      </c>
      <c r="E127" s="59">
        <f t="shared" si="6"/>
        <v>749.33333333333337</v>
      </c>
      <c r="F127" s="48">
        <f t="shared" si="7"/>
        <v>1.3623704162153798</v>
      </c>
      <c r="G127" s="48">
        <f t="shared" si="8"/>
        <v>306.53334364846046</v>
      </c>
      <c r="H127" s="42">
        <f>BuildSchedule!D120</f>
        <v>55</v>
      </c>
      <c r="I127" s="42">
        <f>BuildSchedule!E120</f>
        <v>440</v>
      </c>
    </row>
    <row r="128" spans="2:9" x14ac:dyDescent="0.2">
      <c r="B128" s="42" t="str">
        <f>BuildSchedule!A123</f>
        <v>Otahuhu B</v>
      </c>
      <c r="C128" s="42">
        <f>BuildSchedule!B123</f>
        <v>2000</v>
      </c>
      <c r="D128" s="45">
        <f>BuildSchedule!C123</f>
        <v>456</v>
      </c>
      <c r="E128" s="59">
        <f t="shared" si="6"/>
        <v>749.33333333333337</v>
      </c>
      <c r="F128" s="48">
        <f t="shared" si="7"/>
        <v>1.3623704162153798</v>
      </c>
      <c r="G128" s="48">
        <f t="shared" si="8"/>
        <v>621.24090979421317</v>
      </c>
      <c r="H128" s="42">
        <f>BuildSchedule!D123</f>
        <v>380</v>
      </c>
      <c r="I128" s="42">
        <f>BuildSchedule!E123</f>
        <v>2240</v>
      </c>
    </row>
    <row r="129" spans="2:9" x14ac:dyDescent="0.2">
      <c r="B129" s="42" t="str">
        <f>BuildSchedule!A111</f>
        <v>Rotokawa Stage 2</v>
      </c>
      <c r="C129" s="42">
        <f>BuildSchedule!B111</f>
        <v>2003</v>
      </c>
      <c r="D129" s="45">
        <f>BuildSchedule!C111</f>
        <v>20</v>
      </c>
      <c r="E129" s="59">
        <f t="shared" si="6"/>
        <v>811.55555555555554</v>
      </c>
      <c r="F129" s="48">
        <f t="shared" si="7"/>
        <v>1.2579170436687461</v>
      </c>
      <c r="G129" s="48">
        <f t="shared" si="8"/>
        <v>25.158340873374922</v>
      </c>
      <c r="H129" s="42">
        <f>BuildSchedule!D111</f>
        <v>6</v>
      </c>
      <c r="I129" s="42">
        <f>BuildSchedule!E111</f>
        <v>50</v>
      </c>
    </row>
    <row r="130" spans="2:9" x14ac:dyDescent="0.2">
      <c r="B130" s="42" t="str">
        <f>BuildSchedule!A103</f>
        <v>Hau Nui Stage 2</v>
      </c>
      <c r="C130" s="42">
        <f>BuildSchedule!B103</f>
        <v>2004</v>
      </c>
      <c r="D130" s="45">
        <f>BuildSchedule!C103</f>
        <v>13</v>
      </c>
      <c r="E130" s="59">
        <f t="shared" si="6"/>
        <v>824.88888888888891</v>
      </c>
      <c r="F130" s="48">
        <f t="shared" si="7"/>
        <v>1.2375843328335832</v>
      </c>
      <c r="G130" s="48">
        <f t="shared" si="8"/>
        <v>16.08859632683658</v>
      </c>
      <c r="H130" s="42">
        <f>BuildSchedule!D103</f>
        <v>4.8</v>
      </c>
      <c r="I130" s="42">
        <f>BuildSchedule!E103</f>
        <v>13</v>
      </c>
    </row>
    <row r="131" spans="2:9" x14ac:dyDescent="0.2">
      <c r="B131" s="42" t="str">
        <f>BuildSchedule!A126</f>
        <v>Huntly P40</v>
      </c>
      <c r="C131" s="42">
        <f>BuildSchedule!B126</f>
        <v>2004</v>
      </c>
      <c r="D131" s="45">
        <f>BuildSchedule!C126</f>
        <v>50</v>
      </c>
      <c r="E131" s="59">
        <f t="shared" si="6"/>
        <v>824.88888888888891</v>
      </c>
      <c r="F131" s="48">
        <f t="shared" si="7"/>
        <v>1.2375843328335832</v>
      </c>
      <c r="G131" s="48">
        <f t="shared" si="8"/>
        <v>61.879216641679157</v>
      </c>
      <c r="H131" s="42">
        <f>BuildSchedule!D126</f>
        <v>48</v>
      </c>
      <c r="I131" s="42">
        <f>BuildSchedule!E126</f>
        <v>335</v>
      </c>
    </row>
    <row r="132" spans="2:9" x14ac:dyDescent="0.2">
      <c r="B132" s="42" t="str">
        <f>BuildSchedule!A127</f>
        <v>Tararua Stage 2</v>
      </c>
      <c r="C132" s="42">
        <f>BuildSchedule!B127</f>
        <v>2004</v>
      </c>
      <c r="D132" s="45">
        <f>BuildSchedule!C127</f>
        <v>55</v>
      </c>
      <c r="E132" s="59">
        <f t="shared" si="6"/>
        <v>824.88888888888891</v>
      </c>
      <c r="F132" s="48">
        <f t="shared" si="7"/>
        <v>1.2375843328335832</v>
      </c>
      <c r="G132" s="48">
        <f t="shared" si="8"/>
        <v>68.067138305847067</v>
      </c>
      <c r="H132" s="42">
        <f>BuildSchedule!D127</f>
        <v>36.299999999999997</v>
      </c>
      <c r="I132" s="42">
        <f>BuildSchedule!E127</f>
        <v>147</v>
      </c>
    </row>
    <row r="133" spans="2:9" x14ac:dyDescent="0.2">
      <c r="B133" s="42" t="str">
        <f>BuildSchedule!A128</f>
        <v>Te Apiti</v>
      </c>
      <c r="C133" s="42">
        <f>BuildSchedule!B128</f>
        <v>2004</v>
      </c>
      <c r="D133" s="45">
        <f>BuildSchedule!C128</f>
        <v>190</v>
      </c>
      <c r="E133" s="59">
        <f t="shared" si="6"/>
        <v>824.88888888888891</v>
      </c>
      <c r="F133" s="48">
        <f t="shared" si="7"/>
        <v>1.2375843328335832</v>
      </c>
      <c r="G133" s="48">
        <f t="shared" si="8"/>
        <v>235.1410232383808</v>
      </c>
      <c r="H133" s="42">
        <f>BuildSchedule!D128</f>
        <v>90.75</v>
      </c>
      <c r="I133" s="42">
        <f>BuildSchedule!E128</f>
        <v>258</v>
      </c>
    </row>
    <row r="134" spans="2:9" x14ac:dyDescent="0.2">
      <c r="B134" s="42" t="str">
        <f>BuildSchedule!A129</f>
        <v>Whirinaki 2</v>
      </c>
      <c r="C134" s="42">
        <f>BuildSchedule!B129</f>
        <v>2004</v>
      </c>
      <c r="D134" s="45">
        <f>BuildSchedule!C129</f>
        <v>150</v>
      </c>
      <c r="E134" s="59">
        <f t="shared" si="6"/>
        <v>824.88888888888891</v>
      </c>
      <c r="F134" s="48">
        <f t="shared" si="7"/>
        <v>1.2375843328335832</v>
      </c>
      <c r="G134" s="48">
        <f t="shared" si="8"/>
        <v>185.63764992503746</v>
      </c>
      <c r="H134" s="42">
        <f>BuildSchedule!D129</f>
        <v>155</v>
      </c>
      <c r="I134" s="42">
        <f>BuildSchedule!E129</f>
        <v>9</v>
      </c>
    </row>
    <row r="135" spans="2:9" x14ac:dyDescent="0.2">
      <c r="B135" s="42" t="str">
        <f>BuildSchedule!A121</f>
        <v>Mokai Stage 2</v>
      </c>
      <c r="C135" s="42">
        <f>BuildSchedule!B121</f>
        <v>2005</v>
      </c>
      <c r="D135" s="45">
        <f>BuildSchedule!C121</f>
        <v>60</v>
      </c>
      <c r="E135" s="59">
        <f t="shared" si="6"/>
        <v>847.11111111111109</v>
      </c>
      <c r="F135" s="48">
        <f t="shared" si="7"/>
        <v>1.2051188466627127</v>
      </c>
      <c r="G135" s="48">
        <f t="shared" si="8"/>
        <v>72.30713079976276</v>
      </c>
      <c r="H135" s="42">
        <f>BuildSchedule!D121</f>
        <v>40</v>
      </c>
      <c r="I135" s="42">
        <f>BuildSchedule!E121</f>
        <v>325</v>
      </c>
    </row>
    <row r="136" spans="2:9" x14ac:dyDescent="0.2">
      <c r="B136" s="42" t="str">
        <f>BuildSchedule!A124</f>
        <v>Otahuhu B Stage 2</v>
      </c>
      <c r="C136" s="42">
        <f>BuildSchedule!B124</f>
        <v>2005</v>
      </c>
      <c r="D136" s="45">
        <f>BuildSchedule!C124</f>
        <v>30</v>
      </c>
      <c r="E136" s="59">
        <f t="shared" si="6"/>
        <v>847.11111111111109</v>
      </c>
      <c r="F136" s="48">
        <f t="shared" si="7"/>
        <v>1.2051188466627127</v>
      </c>
      <c r="G136" s="48">
        <f t="shared" si="8"/>
        <v>36.15356539988138</v>
      </c>
      <c r="H136" s="42">
        <f>BuildSchedule!D124</f>
        <v>24</v>
      </c>
      <c r="I136" s="42">
        <f>BuildSchedule!E124</f>
        <v>140</v>
      </c>
    </row>
    <row r="137" spans="2:9" x14ac:dyDescent="0.2">
      <c r="B137" s="42" t="str">
        <f>BuildSchedule!A130</f>
        <v>Pan Pac</v>
      </c>
      <c r="C137" s="42">
        <f>BuildSchedule!B130</f>
        <v>2005</v>
      </c>
      <c r="D137" s="45">
        <f>BuildSchedule!C130</f>
        <v>11</v>
      </c>
      <c r="E137" s="59">
        <f t="shared" si="6"/>
        <v>847.11111111111109</v>
      </c>
      <c r="F137" s="48">
        <f t="shared" si="7"/>
        <v>1.2051188466627127</v>
      </c>
      <c r="G137" s="48">
        <f t="shared" si="8"/>
        <v>13.25630731328984</v>
      </c>
      <c r="H137" s="42">
        <f>BuildSchedule!D130</f>
        <v>12.8</v>
      </c>
      <c r="I137" s="42">
        <f>BuildSchedule!E130</f>
        <v>48</v>
      </c>
    </row>
    <row r="138" spans="2:9" x14ac:dyDescent="0.2">
      <c r="B138" s="42" t="str">
        <f>BuildSchedule!A100</f>
        <v>Te Awamutu - Anchor Products Retirement</v>
      </c>
      <c r="C138" s="42">
        <f>BuildSchedule!B100</f>
        <v>2007</v>
      </c>
      <c r="D138" s="45">
        <f>BuildSchedule!C100</f>
        <v>0</v>
      </c>
      <c r="E138" s="59">
        <f t="shared" si="6"/>
        <v>897.77777777777783</v>
      </c>
      <c r="F138" s="48">
        <f t="shared" si="7"/>
        <v>1.1371071889797675</v>
      </c>
      <c r="G138" s="48">
        <f t="shared" si="8"/>
        <v>0</v>
      </c>
      <c r="H138" s="42">
        <f>BuildSchedule!D100</f>
        <v>-54</v>
      </c>
      <c r="I138" s="42">
        <f>BuildSchedule!E100</f>
        <v>-190</v>
      </c>
    </row>
    <row r="139" spans="2:9" x14ac:dyDescent="0.2">
      <c r="B139" s="42" t="str">
        <f>BuildSchedule!A106</f>
        <v>Southdown Stage 2</v>
      </c>
      <c r="C139" s="42">
        <f>BuildSchedule!B106</f>
        <v>2007</v>
      </c>
      <c r="D139" s="45">
        <f>BuildSchedule!C106</f>
        <v>54</v>
      </c>
      <c r="E139" s="59">
        <f t="shared" si="6"/>
        <v>897.77777777777783</v>
      </c>
      <c r="F139" s="48">
        <f t="shared" si="7"/>
        <v>1.1371071889797675</v>
      </c>
      <c r="G139" s="48">
        <f t="shared" si="8"/>
        <v>61.403788204907443</v>
      </c>
      <c r="H139" s="42">
        <f>BuildSchedule!D106</f>
        <v>45</v>
      </c>
      <c r="I139" s="42">
        <f>BuildSchedule!E106</f>
        <v>250</v>
      </c>
    </row>
    <row r="140" spans="2:9" x14ac:dyDescent="0.2">
      <c r="B140" s="42" t="str">
        <f>BuildSchedule!A122</f>
        <v>Mokai Stage 3</v>
      </c>
      <c r="C140" s="42">
        <f>BuildSchedule!B122</f>
        <v>2007</v>
      </c>
      <c r="D140" s="45">
        <f>BuildSchedule!C122</f>
        <v>15</v>
      </c>
      <c r="E140" s="59">
        <f t="shared" si="6"/>
        <v>897.77777777777783</v>
      </c>
      <c r="F140" s="48">
        <f t="shared" si="7"/>
        <v>1.1371071889797675</v>
      </c>
      <c r="G140" s="48">
        <f t="shared" si="8"/>
        <v>17.056607834696511</v>
      </c>
      <c r="H140" s="42">
        <f>BuildSchedule!D122</f>
        <v>17</v>
      </c>
      <c r="I140" s="42">
        <f>BuildSchedule!E122</f>
        <v>140</v>
      </c>
    </row>
    <row r="141" spans="2:9" x14ac:dyDescent="0.2">
      <c r="B141" s="42" t="str">
        <f>BuildSchedule!A125</f>
        <v>Huntly e3P</v>
      </c>
      <c r="C141" s="42">
        <f>BuildSchedule!B125</f>
        <v>2007</v>
      </c>
      <c r="D141" s="45">
        <f>BuildSchedule!C125</f>
        <v>506</v>
      </c>
      <c r="E141" s="59">
        <f t="shared" si="6"/>
        <v>897.77777777777783</v>
      </c>
      <c r="F141" s="48">
        <f t="shared" si="7"/>
        <v>1.1371071889797675</v>
      </c>
      <c r="G141" s="48">
        <f t="shared" si="8"/>
        <v>575.37623762376234</v>
      </c>
      <c r="H141" s="42">
        <f>BuildSchedule!D125</f>
        <v>400</v>
      </c>
      <c r="I141" s="42">
        <f>BuildSchedule!E125</f>
        <v>2410</v>
      </c>
    </row>
    <row r="142" spans="2:9" x14ac:dyDescent="0.2">
      <c r="B142" s="42" t="str">
        <f>BuildSchedule!A131</f>
        <v>Tararua Stage 3</v>
      </c>
      <c r="C142" s="42">
        <f>BuildSchedule!B131</f>
        <v>2007</v>
      </c>
      <c r="D142" s="45">
        <f>BuildSchedule!C131</f>
        <v>180</v>
      </c>
      <c r="E142" s="59">
        <f t="shared" ref="E142:E149" si="9">VLOOKUP(C142,CPI,2,TRUE)</f>
        <v>897.77777777777783</v>
      </c>
      <c r="F142" s="48">
        <f t="shared" ref="F142:F149" si="10">G$2/E142</f>
        <v>1.1371071889797675</v>
      </c>
      <c r="G142" s="48">
        <f t="shared" ref="G142:G149" si="11">F142*D142</f>
        <v>204.67929401635814</v>
      </c>
      <c r="H142" s="42">
        <f>BuildSchedule!D131</f>
        <v>93</v>
      </c>
      <c r="I142" s="42">
        <f>BuildSchedule!E131</f>
        <v>375</v>
      </c>
    </row>
    <row r="143" spans="2:9" x14ac:dyDescent="0.2">
      <c r="B143" s="42" t="str">
        <f>BuildSchedule!A132</f>
        <v>White Hill</v>
      </c>
      <c r="C143" s="42">
        <f>BuildSchedule!B132</f>
        <v>2007</v>
      </c>
      <c r="D143" s="45">
        <f>BuildSchedule!C132</f>
        <v>100</v>
      </c>
      <c r="E143" s="59">
        <f t="shared" si="9"/>
        <v>897.77777777777783</v>
      </c>
      <c r="F143" s="48">
        <f t="shared" si="10"/>
        <v>1.1371071889797675</v>
      </c>
      <c r="G143" s="48">
        <f t="shared" si="11"/>
        <v>113.71071889797675</v>
      </c>
      <c r="H143" s="42">
        <f>BuildSchedule!D132</f>
        <v>58</v>
      </c>
      <c r="I143" s="42">
        <f>BuildSchedule!E132</f>
        <v>200</v>
      </c>
    </row>
    <row r="144" spans="2:9" x14ac:dyDescent="0.2">
      <c r="B144" s="42" t="str">
        <f>BuildSchedule!A115</f>
        <v>Ngawha Stage 2</v>
      </c>
      <c r="C144" s="42">
        <f>BuildSchedule!B115</f>
        <v>2008</v>
      </c>
      <c r="D144" s="45">
        <f>BuildSchedule!C115</f>
        <v>77</v>
      </c>
      <c r="E144" s="59">
        <f t="shared" si="9"/>
        <v>928</v>
      </c>
      <c r="F144" s="48">
        <f t="shared" si="10"/>
        <v>1.1000749625187407</v>
      </c>
      <c r="G144" s="48">
        <f t="shared" si="11"/>
        <v>84.705772113943041</v>
      </c>
      <c r="H144" s="42">
        <f>BuildSchedule!D115</f>
        <v>15</v>
      </c>
      <c r="I144" s="42">
        <f>BuildSchedule!E115</f>
        <v>120</v>
      </c>
    </row>
    <row r="145" spans="1:10" x14ac:dyDescent="0.2">
      <c r="B145" s="42" t="str">
        <f>BuildSchedule!A133</f>
        <v>Kawerau Geothermal</v>
      </c>
      <c r="C145" s="42">
        <f>BuildSchedule!B133</f>
        <v>2008</v>
      </c>
      <c r="D145" s="45">
        <f>BuildSchedule!C133</f>
        <v>300</v>
      </c>
      <c r="E145" s="59">
        <f t="shared" si="9"/>
        <v>928</v>
      </c>
      <c r="F145" s="48">
        <f t="shared" si="10"/>
        <v>1.1000749625187407</v>
      </c>
      <c r="G145" s="48">
        <f t="shared" si="11"/>
        <v>330.02248875562219</v>
      </c>
      <c r="H145" s="42">
        <f>BuildSchedule!D133</f>
        <v>100</v>
      </c>
      <c r="I145" s="42">
        <f>BuildSchedule!E133</f>
        <v>800</v>
      </c>
    </row>
    <row r="146" spans="1:10" x14ac:dyDescent="0.2">
      <c r="B146" s="42" t="str">
        <f>BuildSchedule!A134</f>
        <v>West Wind</v>
      </c>
      <c r="C146" s="42">
        <f>BuildSchedule!B134</f>
        <v>2009</v>
      </c>
      <c r="D146" s="45">
        <f>BuildSchedule!C134</f>
        <v>430</v>
      </c>
      <c r="E146" s="59">
        <f t="shared" si="9"/>
        <v>955.55555555555554</v>
      </c>
      <c r="F146" s="48">
        <f t="shared" si="10"/>
        <v>1.0683518705763397</v>
      </c>
      <c r="G146" s="48">
        <f t="shared" si="11"/>
        <v>459.39130434782606</v>
      </c>
      <c r="H146" s="42">
        <f>BuildSchedule!D134</f>
        <v>143</v>
      </c>
      <c r="I146" s="42">
        <f>BuildSchedule!E134</f>
        <v>550</v>
      </c>
    </row>
    <row r="147" spans="1:10" x14ac:dyDescent="0.2">
      <c r="B147" s="42" t="str">
        <f>BuildSchedule!A135</f>
        <v>Nga Awa Purua</v>
      </c>
      <c r="C147" s="42">
        <f>BuildSchedule!B135</f>
        <v>2010</v>
      </c>
      <c r="D147" s="45">
        <f>BuildSchedule!C135</f>
        <v>430</v>
      </c>
      <c r="E147" s="59">
        <f t="shared" si="9"/>
        <v>975.11111111111109</v>
      </c>
      <c r="F147" s="48">
        <f t="shared" si="10"/>
        <v>1.0469264000634142</v>
      </c>
      <c r="G147" s="48">
        <f t="shared" si="11"/>
        <v>450.17835202726809</v>
      </c>
      <c r="H147" s="42">
        <f>BuildSchedule!D135</f>
        <v>140</v>
      </c>
      <c r="I147" s="42">
        <f>BuildSchedule!E135</f>
        <v>1100</v>
      </c>
    </row>
    <row r="148" spans="1:10" x14ac:dyDescent="0.2">
      <c r="B148" s="42" t="str">
        <f>BuildSchedule!A136</f>
        <v>Te Huka</v>
      </c>
      <c r="C148" s="42">
        <f>BuildSchedule!B136</f>
        <v>2010</v>
      </c>
      <c r="D148" s="45">
        <f>BuildSchedule!C136</f>
        <v>100</v>
      </c>
      <c r="E148" s="59">
        <f t="shared" si="9"/>
        <v>975.11111111111109</v>
      </c>
      <c r="F148" s="48">
        <f t="shared" si="10"/>
        <v>1.0469264000634142</v>
      </c>
      <c r="G148" s="48">
        <f t="shared" si="11"/>
        <v>104.69264000634142</v>
      </c>
      <c r="H148" s="42">
        <f>BuildSchedule!D136</f>
        <v>23</v>
      </c>
      <c r="I148" s="42">
        <f>BuildSchedule!E136</f>
        <v>190</v>
      </c>
    </row>
    <row r="149" spans="1:10" x14ac:dyDescent="0.2">
      <c r="B149" s="43" t="str">
        <f>BuildSchedule!A137</f>
        <v>Mahinerangi</v>
      </c>
      <c r="C149" s="43">
        <f>BuildSchedule!B137</f>
        <v>2011</v>
      </c>
      <c r="D149" s="46">
        <f>BuildSchedule!C137</f>
        <v>75</v>
      </c>
      <c r="E149" s="60">
        <f t="shared" si="9"/>
        <v>1007.4725274725275</v>
      </c>
      <c r="F149" s="49">
        <f t="shared" si="10"/>
        <v>1.0132976705364596</v>
      </c>
      <c r="G149" s="49">
        <f t="shared" si="11"/>
        <v>75.997325290234471</v>
      </c>
      <c r="H149" s="43">
        <f>BuildSchedule!D137</f>
        <v>36</v>
      </c>
      <c r="I149" s="43">
        <f>BuildSchedule!E137</f>
        <v>112</v>
      </c>
    </row>
    <row r="150" spans="1:10" x14ac:dyDescent="0.2">
      <c r="A150" s="51"/>
      <c r="B150" s="51"/>
      <c r="C150" s="51"/>
      <c r="D150" s="52"/>
      <c r="E150" s="61"/>
      <c r="F150" s="53"/>
      <c r="G150" s="53"/>
      <c r="H150" s="51"/>
      <c r="I150" s="51"/>
      <c r="J150" s="51"/>
    </row>
    <row r="151" spans="1:10" x14ac:dyDescent="0.2">
      <c r="A151" s="51"/>
      <c r="B151" s="50" t="s">
        <v>309</v>
      </c>
      <c r="C151" s="51"/>
      <c r="D151" s="52"/>
      <c r="E151" s="61"/>
      <c r="F151" s="53"/>
      <c r="G151" s="53"/>
      <c r="H151" s="51"/>
      <c r="I151" s="51"/>
      <c r="J151" s="51"/>
    </row>
    <row r="152" spans="1:10" x14ac:dyDescent="0.2">
      <c r="A152" s="51"/>
      <c r="B152" s="51"/>
      <c r="C152" s="51"/>
      <c r="D152" s="52"/>
      <c r="E152" s="61"/>
      <c r="F152" s="53"/>
      <c r="G152" s="53"/>
      <c r="H152" s="51"/>
      <c r="I152" s="51"/>
      <c r="J152" s="51"/>
    </row>
    <row r="153" spans="1:10" x14ac:dyDescent="0.2">
      <c r="A153" s="51"/>
      <c r="B153" s="40" t="s">
        <v>119</v>
      </c>
      <c r="C153" s="40" t="s">
        <v>120</v>
      </c>
      <c r="D153" s="40" t="s">
        <v>303</v>
      </c>
      <c r="E153" s="40" t="s">
        <v>318</v>
      </c>
      <c r="F153" s="40" t="s">
        <v>305</v>
      </c>
      <c r="G153" s="40" t="s">
        <v>304</v>
      </c>
      <c r="H153" s="40" t="s">
        <v>307</v>
      </c>
      <c r="I153" s="40" t="s">
        <v>306</v>
      </c>
      <c r="J153" s="51"/>
    </row>
    <row r="154" spans="1:10" x14ac:dyDescent="0.2">
      <c r="B154" s="42" t="str">
        <f>BuildSchedule!A138</f>
        <v>Marsden Diesel</v>
      </c>
      <c r="C154" s="42">
        <f>BuildSchedule!B138</f>
        <v>2011</v>
      </c>
      <c r="D154" s="45">
        <f>BuildSchedule!C138</f>
        <v>10.8</v>
      </c>
      <c r="E154" s="59">
        <f t="shared" si="6"/>
        <v>1007.4725274725275</v>
      </c>
      <c r="F154" s="48">
        <f t="shared" si="7"/>
        <v>1.0132976705364596</v>
      </c>
      <c r="G154" s="48">
        <f t="shared" si="8"/>
        <v>10.943614841793764</v>
      </c>
      <c r="H154" s="42">
        <f>BuildSchedule!D138</f>
        <v>9</v>
      </c>
      <c r="I154" s="42">
        <f>BuildSchedule!E138</f>
        <v>0.1</v>
      </c>
    </row>
    <row r="155" spans="1:10" x14ac:dyDescent="0.2">
      <c r="B155" s="42" t="str">
        <f>BuildSchedule!A139</f>
        <v>Mount Stuart</v>
      </c>
      <c r="C155" s="42">
        <f>BuildSchedule!B139</f>
        <v>2011</v>
      </c>
      <c r="D155" s="45">
        <f>BuildSchedule!C139</f>
        <v>17</v>
      </c>
      <c r="E155" s="59">
        <f t="shared" si="6"/>
        <v>1007.4725274725275</v>
      </c>
      <c r="F155" s="48">
        <f t="shared" si="7"/>
        <v>1.0132976705364596</v>
      </c>
      <c r="G155" s="48">
        <f t="shared" si="8"/>
        <v>17.226060399119813</v>
      </c>
      <c r="H155" s="42">
        <f>BuildSchedule!D139</f>
        <v>7.65</v>
      </c>
      <c r="I155" s="42">
        <f>BuildSchedule!E139</f>
        <v>25.6</v>
      </c>
    </row>
    <row r="156" spans="1:10" x14ac:dyDescent="0.2">
      <c r="B156" s="42" t="str">
        <f>BuildSchedule!A140</f>
        <v>Stratford Peaker</v>
      </c>
      <c r="C156" s="42">
        <f>BuildSchedule!B140</f>
        <v>2011</v>
      </c>
      <c r="D156" s="45">
        <f>BuildSchedule!C140</f>
        <v>250</v>
      </c>
      <c r="E156" s="59">
        <f t="shared" si="6"/>
        <v>1007.4725274725275</v>
      </c>
      <c r="F156" s="48">
        <f t="shared" si="7"/>
        <v>1.0132976705364596</v>
      </c>
      <c r="G156" s="48">
        <f t="shared" si="8"/>
        <v>253.32441763411489</v>
      </c>
      <c r="H156" s="42">
        <f>BuildSchedule!D140</f>
        <v>200</v>
      </c>
      <c r="I156" s="42">
        <f>BuildSchedule!E140</f>
        <v>350</v>
      </c>
    </row>
    <row r="157" spans="1:10" x14ac:dyDescent="0.2">
      <c r="B157" s="42" t="str">
        <f>BuildSchedule!A141</f>
        <v>Te Rere Hau</v>
      </c>
      <c r="C157" s="42">
        <f>BuildSchedule!B141</f>
        <v>2011</v>
      </c>
      <c r="D157" s="45">
        <f>BuildSchedule!C141</f>
        <v>80</v>
      </c>
      <c r="E157" s="59">
        <f t="shared" si="6"/>
        <v>1007.4725274725275</v>
      </c>
      <c r="F157" s="48">
        <f t="shared" si="7"/>
        <v>1.0132976705364596</v>
      </c>
      <c r="G157" s="48">
        <f t="shared" si="8"/>
        <v>81.06381364291677</v>
      </c>
      <c r="H157" s="42">
        <f>BuildSchedule!D141</f>
        <v>48.5</v>
      </c>
      <c r="I157" s="42">
        <f>BuildSchedule!E141</f>
        <v>160</v>
      </c>
    </row>
    <row r="158" spans="1:10" x14ac:dyDescent="0.2">
      <c r="B158" s="42" t="str">
        <f>BuildSchedule!A142</f>
        <v>Te Uku</v>
      </c>
      <c r="C158" s="42">
        <f>BuildSchedule!B142</f>
        <v>2011</v>
      </c>
      <c r="D158" s="45">
        <f>BuildSchedule!C142</f>
        <v>200</v>
      </c>
      <c r="E158" s="59">
        <f t="shared" si="6"/>
        <v>1007.4725274725275</v>
      </c>
      <c r="F158" s="48">
        <f t="shared" si="7"/>
        <v>1.0132976705364596</v>
      </c>
      <c r="G158" s="48">
        <f t="shared" si="8"/>
        <v>202.6595341072919</v>
      </c>
      <c r="H158" s="42">
        <f>BuildSchedule!D142</f>
        <v>64.400000000000006</v>
      </c>
      <c r="I158" s="42">
        <f>BuildSchedule!E142</f>
        <v>225</v>
      </c>
    </row>
    <row r="159" spans="1:10" x14ac:dyDescent="0.2">
      <c r="B159" s="42" t="str">
        <f>BuildSchedule!A143</f>
        <v>Kawerau - TOPP 1</v>
      </c>
      <c r="C159" s="42">
        <f>BuildSchedule!B143</f>
        <v>2012</v>
      </c>
      <c r="D159" s="45">
        <f>BuildSchedule!C143</f>
        <v>42</v>
      </c>
      <c r="E159" s="59">
        <f t="shared" si="6"/>
        <v>1012.1739130434784</v>
      </c>
      <c r="F159" s="48">
        <f t="shared" si="7"/>
        <v>1.0085910652920962</v>
      </c>
      <c r="G159" s="48">
        <f t="shared" si="8"/>
        <v>42.360824742268036</v>
      </c>
      <c r="H159" s="42">
        <f>BuildSchedule!D143</f>
        <v>25</v>
      </c>
      <c r="I159" s="42">
        <f>BuildSchedule!E143</f>
        <v>210</v>
      </c>
    </row>
    <row r="160" spans="1:10" x14ac:dyDescent="0.2">
      <c r="B160" s="42" t="str">
        <f>BuildSchedule!A144</f>
        <v>Ngatamariki</v>
      </c>
      <c r="C160" s="42">
        <f>BuildSchedule!B144</f>
        <v>2013</v>
      </c>
      <c r="D160" s="45">
        <f>BuildSchedule!C144</f>
        <v>466</v>
      </c>
      <c r="E160" s="59">
        <f t="shared" si="6"/>
        <v>1020.8695652173914</v>
      </c>
      <c r="F160" s="48">
        <f t="shared" si="7"/>
        <v>1</v>
      </c>
      <c r="G160" s="48">
        <f t="shared" si="8"/>
        <v>466</v>
      </c>
      <c r="H160" s="42">
        <f>BuildSchedule!D144</f>
        <v>82</v>
      </c>
      <c r="I160" s="42">
        <f>BuildSchedule!E144</f>
        <v>670</v>
      </c>
    </row>
    <row r="161" spans="2:14" x14ac:dyDescent="0.2">
      <c r="B161" s="43" t="str">
        <f>BuildSchedule!A145</f>
        <v>McKee</v>
      </c>
      <c r="C161" s="43">
        <f>BuildSchedule!B145</f>
        <v>2013</v>
      </c>
      <c r="D161" s="46">
        <f>BuildSchedule!C145</f>
        <v>100</v>
      </c>
      <c r="E161" s="60">
        <f t="shared" si="6"/>
        <v>1020.8695652173914</v>
      </c>
      <c r="F161" s="49">
        <f t="shared" si="7"/>
        <v>1</v>
      </c>
      <c r="G161" s="49">
        <f t="shared" si="8"/>
        <v>100</v>
      </c>
      <c r="H161" s="43">
        <f>BuildSchedule!D145</f>
        <v>102</v>
      </c>
      <c r="I161" s="43">
        <f>BuildSchedule!E145</f>
        <v>300</v>
      </c>
    </row>
    <row r="162" spans="2:14" x14ac:dyDescent="0.2">
      <c r="B162" s="41" t="str">
        <f>BuildSchedule!A146</f>
        <v>Waipori</v>
      </c>
      <c r="C162" s="41">
        <f>BuildSchedule!B146</f>
        <v>1907</v>
      </c>
      <c r="D162" s="44">
        <f>BuildSchedule!C146</f>
        <v>7.0000000000000007E-2</v>
      </c>
      <c r="E162" s="58">
        <f t="shared" ref="E162:E173" si="12">VLOOKUP(C162,CPI,2,TRUE)</f>
        <v>27</v>
      </c>
      <c r="F162" s="47">
        <f t="shared" ref="F162:F173" si="13">G$2/E162</f>
        <v>37.809983896940423</v>
      </c>
      <c r="G162" s="47">
        <f t="shared" ref="G162:G173" si="14">F162*D162</f>
        <v>2.64669887278583</v>
      </c>
      <c r="H162" s="41">
        <f>BuildSchedule!D146</f>
        <v>2</v>
      </c>
      <c r="I162" s="41">
        <f>BuildSchedule!E146</f>
        <v>5</v>
      </c>
      <c r="N162" s="23"/>
    </row>
    <row r="163" spans="2:14" x14ac:dyDescent="0.2">
      <c r="B163" s="42" t="str">
        <f>BuildSchedule!A147</f>
        <v>Waipori Stage 2</v>
      </c>
      <c r="C163" s="42">
        <f>BuildSchedule!B147</f>
        <v>1913</v>
      </c>
      <c r="D163" s="45">
        <f>BuildSchedule!C147</f>
        <v>0.14000000000000001</v>
      </c>
      <c r="E163" s="59">
        <f t="shared" si="12"/>
        <v>27</v>
      </c>
      <c r="F163" s="48">
        <f t="shared" si="13"/>
        <v>37.809983896940423</v>
      </c>
      <c r="G163" s="48">
        <f t="shared" si="14"/>
        <v>5.2933977455716601</v>
      </c>
      <c r="H163" s="42">
        <f>BuildSchedule!D147</f>
        <v>4</v>
      </c>
      <c r="I163" s="42">
        <f>BuildSchedule!E147</f>
        <v>10</v>
      </c>
    </row>
    <row r="164" spans="2:14" x14ac:dyDescent="0.2">
      <c r="B164" s="42" t="str">
        <f>BuildSchedule!A148</f>
        <v>Waipori Stage 1 &amp; 2 retirement</v>
      </c>
      <c r="C164" s="42">
        <f>BuildSchedule!B148</f>
        <v>1922</v>
      </c>
      <c r="D164" s="45">
        <f>BuildSchedule!C148</f>
        <v>0</v>
      </c>
      <c r="E164" s="59">
        <f t="shared" si="12"/>
        <v>26</v>
      </c>
      <c r="F164" s="48">
        <f t="shared" si="13"/>
        <v>39.264214046822744</v>
      </c>
      <c r="G164" s="48">
        <f t="shared" si="14"/>
        <v>0</v>
      </c>
      <c r="H164" s="42">
        <f>BuildSchedule!D148</f>
        <v>-6</v>
      </c>
      <c r="I164" s="42">
        <f>BuildSchedule!E148</f>
        <v>-15</v>
      </c>
    </row>
    <row r="165" spans="2:14" x14ac:dyDescent="0.2">
      <c r="B165" s="42" t="str">
        <f>BuildSchedule!A149</f>
        <v>Waipori Stage 3</v>
      </c>
      <c r="C165" s="42">
        <f>BuildSchedule!B149</f>
        <v>1922</v>
      </c>
      <c r="D165" s="45">
        <f>BuildSchedule!C149</f>
        <v>0.72</v>
      </c>
      <c r="E165" s="59">
        <f t="shared" si="12"/>
        <v>26</v>
      </c>
      <c r="F165" s="48">
        <f t="shared" si="13"/>
        <v>39.264214046822744</v>
      </c>
      <c r="G165" s="48">
        <f t="shared" si="14"/>
        <v>28.270234113712373</v>
      </c>
      <c r="H165" s="42">
        <f>BuildSchedule!D149</f>
        <v>21.8</v>
      </c>
      <c r="I165" s="42">
        <f>BuildSchedule!E149</f>
        <v>50</v>
      </c>
    </row>
    <row r="166" spans="2:14" x14ac:dyDescent="0.2">
      <c r="B166" s="42" t="str">
        <f>BuildSchedule!A150</f>
        <v>Waipori Stage 4</v>
      </c>
      <c r="C166" s="42">
        <f>BuildSchedule!B150</f>
        <v>1929</v>
      </c>
      <c r="D166" s="45">
        <f>BuildSchedule!C150</f>
        <v>0.13</v>
      </c>
      <c r="E166" s="59">
        <f t="shared" si="12"/>
        <v>25</v>
      </c>
      <c r="F166" s="48">
        <f t="shared" si="13"/>
        <v>40.834782608695654</v>
      </c>
      <c r="G166" s="48">
        <f t="shared" si="14"/>
        <v>5.3085217391304349</v>
      </c>
      <c r="H166" s="42">
        <f>BuildSchedule!D150</f>
        <v>4</v>
      </c>
      <c r="I166" s="42">
        <f>BuildSchedule!E150</f>
        <v>10</v>
      </c>
    </row>
    <row r="167" spans="2:14" x14ac:dyDescent="0.2">
      <c r="B167" s="42" t="str">
        <f>BuildSchedule!A151</f>
        <v>Waipori Stage 5</v>
      </c>
      <c r="C167" s="42">
        <f>BuildSchedule!B151</f>
        <v>1946</v>
      </c>
      <c r="D167" s="45">
        <f>BuildSchedule!C151</f>
        <v>0.11</v>
      </c>
      <c r="E167" s="59">
        <f t="shared" si="12"/>
        <v>30</v>
      </c>
      <c r="F167" s="48">
        <f t="shared" si="13"/>
        <v>34.028985507246382</v>
      </c>
      <c r="G167" s="48">
        <f t="shared" si="14"/>
        <v>3.7431884057971021</v>
      </c>
      <c r="H167" s="42">
        <f>BuildSchedule!D151</f>
        <v>3</v>
      </c>
      <c r="I167" s="42">
        <f>BuildSchedule!E151</f>
        <v>7.5</v>
      </c>
    </row>
    <row r="168" spans="2:14" x14ac:dyDescent="0.2">
      <c r="B168" s="42" t="str">
        <f>BuildSchedule!A152</f>
        <v>Waipori Stage 6</v>
      </c>
      <c r="C168" s="42">
        <f>BuildSchedule!B152</f>
        <v>1955</v>
      </c>
      <c r="D168" s="45">
        <f>BuildSchedule!C152</f>
        <v>0.82</v>
      </c>
      <c r="E168" s="59">
        <f t="shared" si="12"/>
        <v>48</v>
      </c>
      <c r="F168" s="48">
        <f t="shared" si="13"/>
        <v>21.268115942028988</v>
      </c>
      <c r="G168" s="48">
        <f t="shared" si="14"/>
        <v>17.439855072463768</v>
      </c>
      <c r="H168" s="42">
        <f>BuildSchedule!D152</f>
        <v>13.600000000000001</v>
      </c>
      <c r="I168" s="42">
        <f>BuildSchedule!E152</f>
        <v>31</v>
      </c>
    </row>
    <row r="169" spans="2:14" x14ac:dyDescent="0.2">
      <c r="B169" s="42" t="str">
        <f>BuildSchedule!A153</f>
        <v>Waipori Stage 7</v>
      </c>
      <c r="C169" s="42">
        <f>BuildSchedule!B153</f>
        <v>1968</v>
      </c>
      <c r="D169" s="45">
        <f>BuildSchedule!C153</f>
        <v>1.6</v>
      </c>
      <c r="E169" s="59">
        <f t="shared" si="12"/>
        <v>71</v>
      </c>
      <c r="F169" s="48">
        <f t="shared" si="13"/>
        <v>14.378444580526638</v>
      </c>
      <c r="G169" s="48">
        <f t="shared" si="14"/>
        <v>23.005511328842623</v>
      </c>
      <c r="H169" s="42">
        <f>BuildSchedule!D153</f>
        <v>18</v>
      </c>
      <c r="I169" s="42">
        <f>BuildSchedule!E153</f>
        <v>45</v>
      </c>
    </row>
    <row r="170" spans="2:14" x14ac:dyDescent="0.2">
      <c r="B170" s="42" t="str">
        <f>BuildSchedule!A154</f>
        <v>Waipori Stage 8</v>
      </c>
      <c r="C170" s="42">
        <f>BuildSchedule!B154</f>
        <v>1976</v>
      </c>
      <c r="D170" s="45">
        <f>BuildSchedule!C154</f>
        <v>6.56</v>
      </c>
      <c r="E170" s="59">
        <f t="shared" si="12"/>
        <v>145</v>
      </c>
      <c r="F170" s="48">
        <f t="shared" si="13"/>
        <v>7.0404797601199407</v>
      </c>
      <c r="G170" s="48">
        <f t="shared" si="14"/>
        <v>46.185547226386809</v>
      </c>
      <c r="H170" s="42">
        <f>BuildSchedule!D154</f>
        <v>36</v>
      </c>
      <c r="I170" s="42">
        <f>BuildSchedule!E154</f>
        <v>90</v>
      </c>
    </row>
    <row r="171" spans="2:14" x14ac:dyDescent="0.2">
      <c r="B171" s="42" t="str">
        <f>BuildSchedule!A155</f>
        <v>Waipori Stage 3 retirement</v>
      </c>
      <c r="C171" s="42">
        <f>BuildSchedule!B155</f>
        <v>1980</v>
      </c>
      <c r="D171" s="45">
        <f>BuildSchedule!C155</f>
        <v>0</v>
      </c>
      <c r="E171" s="59">
        <f t="shared" si="12"/>
        <v>246</v>
      </c>
      <c r="F171" s="48">
        <f t="shared" si="13"/>
        <v>4.14987628137151</v>
      </c>
      <c r="G171" s="48">
        <f t="shared" si="14"/>
        <v>0</v>
      </c>
      <c r="H171" s="42">
        <f>BuildSchedule!D155</f>
        <v>-21.8</v>
      </c>
      <c r="I171" s="42">
        <f>BuildSchedule!E155</f>
        <v>-50</v>
      </c>
    </row>
    <row r="172" spans="2:14" x14ac:dyDescent="0.2">
      <c r="B172" s="42" t="str">
        <f>BuildSchedule!A156</f>
        <v>Waipori Stage 4 retirement</v>
      </c>
      <c r="C172" s="42">
        <f>BuildSchedule!B156</f>
        <v>1983</v>
      </c>
      <c r="D172" s="45">
        <f>BuildSchedule!C156</f>
        <v>0</v>
      </c>
      <c r="E172" s="59">
        <f t="shared" si="12"/>
        <v>370</v>
      </c>
      <c r="F172" s="48">
        <f t="shared" si="13"/>
        <v>2.7591069330199769</v>
      </c>
      <c r="G172" s="48">
        <f t="shared" si="14"/>
        <v>0</v>
      </c>
      <c r="H172" s="42">
        <f>BuildSchedule!D156</f>
        <v>-7</v>
      </c>
      <c r="I172" s="42">
        <f>BuildSchedule!E156</f>
        <v>-17.5</v>
      </c>
    </row>
    <row r="173" spans="2:14" x14ac:dyDescent="0.2">
      <c r="B173" s="43" t="str">
        <f>BuildSchedule!A157</f>
        <v>Waipori Stage 9</v>
      </c>
      <c r="C173" s="43">
        <f>BuildSchedule!B157</f>
        <v>1983</v>
      </c>
      <c r="D173" s="46">
        <f>BuildSchedule!C157</f>
        <v>4.6500000000000004</v>
      </c>
      <c r="E173" s="60">
        <f t="shared" si="12"/>
        <v>370</v>
      </c>
      <c r="F173" s="49">
        <f t="shared" si="13"/>
        <v>2.7591069330199769</v>
      </c>
      <c r="G173" s="49">
        <f t="shared" si="14"/>
        <v>12.829847238542893</v>
      </c>
      <c r="H173" s="43">
        <f>BuildSchedule!D157</f>
        <v>10</v>
      </c>
      <c r="I173" s="43">
        <f>BuildSchedule!E157</f>
        <v>23</v>
      </c>
    </row>
    <row r="176" spans="2:14" x14ac:dyDescent="0.2">
      <c r="D176" s="20"/>
      <c r="F176" s="23"/>
      <c r="G176" s="23"/>
      <c r="N176" s="23"/>
    </row>
    <row r="177" spans="4:7" x14ac:dyDescent="0.2">
      <c r="D177" s="20"/>
      <c r="F177" s="23"/>
      <c r="G177" s="23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/>
  </sheetViews>
  <sheetFormatPr defaultRowHeight="12.75" x14ac:dyDescent="0.2"/>
  <cols>
    <col min="1" max="1" width="9.140625" style="3"/>
    <col min="2" max="2" width="12.42578125" style="3" customWidth="1"/>
    <col min="3" max="3" width="13.5703125" style="3" customWidth="1"/>
    <col min="4" max="4" width="9.140625" style="3"/>
    <col min="5" max="5" width="12.7109375" style="3" customWidth="1"/>
    <col min="6" max="16384" width="9.140625" style="3"/>
  </cols>
  <sheetData>
    <row r="1" spans="1:13" x14ac:dyDescent="0.2">
      <c r="A1" s="3" t="s">
        <v>312</v>
      </c>
      <c r="D1" s="3" t="s">
        <v>313</v>
      </c>
      <c r="L1" s="2"/>
    </row>
    <row r="2" spans="1:13" x14ac:dyDescent="0.2">
      <c r="L2" s="2"/>
    </row>
    <row r="3" spans="1:13" x14ac:dyDescent="0.2">
      <c r="B3" s="3" t="s">
        <v>128</v>
      </c>
    </row>
    <row r="4" spans="1:13" x14ac:dyDescent="0.2">
      <c r="B4" s="3" t="s">
        <v>126</v>
      </c>
      <c r="C4" s="3" t="s">
        <v>127</v>
      </c>
      <c r="D4" s="3" t="s">
        <v>129</v>
      </c>
      <c r="E4" s="3" t="s">
        <v>130</v>
      </c>
      <c r="F4" s="3" t="s">
        <v>131</v>
      </c>
      <c r="G4" s="3" t="s">
        <v>121</v>
      </c>
      <c r="H4" s="3" t="s">
        <v>311</v>
      </c>
      <c r="K4" s="2" t="s">
        <v>122</v>
      </c>
      <c r="M4" s="22">
        <f>'2013EquivCostSorted'!G1</f>
        <v>2013</v>
      </c>
    </row>
    <row r="5" spans="1:13" s="26" customFormat="1" x14ac:dyDescent="0.2">
      <c r="A5" s="26">
        <v>1905</v>
      </c>
      <c r="D5" s="26">
        <f t="shared" ref="D5:D10" si="0">B5+C5</f>
        <v>0</v>
      </c>
      <c r="E5" s="26">
        <v>0</v>
      </c>
      <c r="H5" s="26">
        <v>0</v>
      </c>
      <c r="K5" s="2" t="s">
        <v>319</v>
      </c>
      <c r="M5" s="57">
        <f>VLOOKUP(M4,CPI,2,FALSE)</f>
        <v>1020.8695652173914</v>
      </c>
    </row>
    <row r="6" spans="1:13" s="26" customFormat="1" x14ac:dyDescent="0.2">
      <c r="A6" s="26">
        <v>1906</v>
      </c>
      <c r="D6" s="26">
        <f t="shared" si="0"/>
        <v>0</v>
      </c>
      <c r="E6" s="26">
        <f t="shared" ref="E6:E10" si="1">D6-D5</f>
        <v>0</v>
      </c>
      <c r="F6" s="26">
        <f t="shared" ref="F6:F10" si="2">VLOOKUP(A6,CPI,2,FALSE)</f>
        <v>27</v>
      </c>
      <c r="G6" s="26">
        <f t="shared" ref="G6:G37" si="3">M$5/F6</f>
        <v>37.809983896940423</v>
      </c>
      <c r="H6" s="26">
        <f t="shared" ref="H6:H10" si="4">G6*E6</f>
        <v>0</v>
      </c>
    </row>
    <row r="7" spans="1:13" s="26" customFormat="1" x14ac:dyDescent="0.2">
      <c r="A7" s="26">
        <v>1907</v>
      </c>
      <c r="D7" s="26">
        <f t="shared" si="0"/>
        <v>0</v>
      </c>
      <c r="E7" s="26">
        <f t="shared" si="1"/>
        <v>0</v>
      </c>
      <c r="F7" s="26">
        <f t="shared" si="2"/>
        <v>27</v>
      </c>
      <c r="G7" s="26">
        <f t="shared" si="3"/>
        <v>37.809983896940423</v>
      </c>
      <c r="H7" s="26">
        <f t="shared" si="4"/>
        <v>0</v>
      </c>
    </row>
    <row r="8" spans="1:13" s="26" customFormat="1" x14ac:dyDescent="0.2">
      <c r="A8" s="26">
        <v>1908</v>
      </c>
      <c r="D8" s="26">
        <f t="shared" si="0"/>
        <v>0</v>
      </c>
      <c r="E8" s="26">
        <f t="shared" si="1"/>
        <v>0</v>
      </c>
      <c r="F8" s="26">
        <f t="shared" si="2"/>
        <v>27</v>
      </c>
      <c r="G8" s="26">
        <f t="shared" si="3"/>
        <v>37.809983896940423</v>
      </c>
      <c r="H8" s="26">
        <f t="shared" si="4"/>
        <v>0</v>
      </c>
    </row>
    <row r="9" spans="1:13" s="26" customFormat="1" x14ac:dyDescent="0.2">
      <c r="A9" s="26">
        <v>1909</v>
      </c>
      <c r="D9" s="26">
        <f t="shared" si="0"/>
        <v>0</v>
      </c>
      <c r="E9" s="26">
        <f t="shared" si="1"/>
        <v>0</v>
      </c>
      <c r="F9" s="26">
        <f t="shared" si="2"/>
        <v>27</v>
      </c>
      <c r="G9" s="26">
        <f t="shared" si="3"/>
        <v>37.809983896940423</v>
      </c>
      <c r="H9" s="26">
        <f t="shared" si="4"/>
        <v>0</v>
      </c>
    </row>
    <row r="10" spans="1:13" x14ac:dyDescent="0.2">
      <c r="A10" s="3">
        <v>1910</v>
      </c>
      <c r="B10" s="26"/>
      <c r="C10" s="26"/>
      <c r="D10" s="26">
        <f t="shared" si="0"/>
        <v>0</v>
      </c>
      <c r="E10" s="26">
        <f t="shared" si="1"/>
        <v>0</v>
      </c>
      <c r="F10" s="26">
        <f t="shared" si="2"/>
        <v>27</v>
      </c>
      <c r="G10" s="26">
        <f t="shared" si="3"/>
        <v>37.809983896940423</v>
      </c>
      <c r="H10" s="26">
        <f t="shared" si="4"/>
        <v>0</v>
      </c>
    </row>
    <row r="11" spans="1:13" x14ac:dyDescent="0.2">
      <c r="A11" s="3">
        <v>1911</v>
      </c>
      <c r="D11" s="3">
        <f t="shared" ref="D11:D39" si="5">B11+C11</f>
        <v>0</v>
      </c>
      <c r="E11" s="3">
        <f t="shared" ref="E11:E40" si="6">D11-D10</f>
        <v>0</v>
      </c>
      <c r="F11" s="3">
        <f t="shared" ref="F11:F42" si="7">VLOOKUP(A11,CPI,2,FALSE)</f>
        <v>27</v>
      </c>
      <c r="G11" s="3">
        <f t="shared" si="3"/>
        <v>37.809983896940423</v>
      </c>
      <c r="H11" s="3">
        <f>G11*E11</f>
        <v>0</v>
      </c>
    </row>
    <row r="12" spans="1:13" x14ac:dyDescent="0.2">
      <c r="A12" s="3">
        <v>1912</v>
      </c>
      <c r="D12" s="3">
        <f t="shared" si="5"/>
        <v>0</v>
      </c>
      <c r="E12" s="3">
        <f t="shared" si="6"/>
        <v>0</v>
      </c>
      <c r="F12" s="3">
        <f t="shared" si="7"/>
        <v>27</v>
      </c>
      <c r="G12" s="3">
        <f t="shared" si="3"/>
        <v>37.809983896940423</v>
      </c>
      <c r="H12" s="3">
        <f t="shared" ref="H12:H75" si="8">G12*E12</f>
        <v>0</v>
      </c>
    </row>
    <row r="13" spans="1:13" x14ac:dyDescent="0.2">
      <c r="A13" s="3">
        <v>1913</v>
      </c>
      <c r="D13" s="3">
        <f t="shared" si="5"/>
        <v>0</v>
      </c>
      <c r="E13" s="3">
        <f t="shared" si="6"/>
        <v>0</v>
      </c>
      <c r="F13" s="3">
        <f t="shared" si="7"/>
        <v>27</v>
      </c>
      <c r="G13" s="3">
        <f t="shared" si="3"/>
        <v>37.809983896940423</v>
      </c>
      <c r="H13" s="3">
        <f t="shared" si="8"/>
        <v>0</v>
      </c>
    </row>
    <row r="14" spans="1:13" x14ac:dyDescent="0.2">
      <c r="A14" s="3">
        <v>1914</v>
      </c>
      <c r="D14" s="3">
        <f t="shared" si="5"/>
        <v>0</v>
      </c>
      <c r="E14" s="3">
        <f t="shared" si="6"/>
        <v>0</v>
      </c>
      <c r="F14" s="3">
        <f t="shared" si="7"/>
        <v>27</v>
      </c>
      <c r="G14" s="3">
        <f t="shared" si="3"/>
        <v>37.809983896940423</v>
      </c>
      <c r="H14" s="3">
        <f t="shared" si="8"/>
        <v>0</v>
      </c>
    </row>
    <row r="15" spans="1:13" x14ac:dyDescent="0.2">
      <c r="A15" s="3">
        <v>1915</v>
      </c>
      <c r="D15" s="3">
        <f t="shared" si="5"/>
        <v>0</v>
      </c>
      <c r="E15" s="3">
        <f t="shared" si="6"/>
        <v>0</v>
      </c>
      <c r="F15" s="3">
        <f t="shared" si="7"/>
        <v>27</v>
      </c>
      <c r="G15" s="3">
        <f t="shared" si="3"/>
        <v>37.809983896940423</v>
      </c>
      <c r="H15" s="3">
        <f t="shared" si="8"/>
        <v>0</v>
      </c>
    </row>
    <row r="16" spans="1:13" x14ac:dyDescent="0.2">
      <c r="A16" s="3">
        <v>1916</v>
      </c>
      <c r="D16" s="3">
        <f t="shared" si="5"/>
        <v>0</v>
      </c>
      <c r="E16" s="3">
        <f t="shared" si="6"/>
        <v>0</v>
      </c>
      <c r="F16" s="3">
        <f t="shared" si="7"/>
        <v>27</v>
      </c>
      <c r="G16" s="3">
        <f t="shared" si="3"/>
        <v>37.809983896940423</v>
      </c>
      <c r="H16" s="3">
        <f t="shared" si="8"/>
        <v>0</v>
      </c>
    </row>
    <row r="17" spans="1:8" x14ac:dyDescent="0.2">
      <c r="A17" s="3">
        <v>1917</v>
      </c>
      <c r="D17" s="3">
        <f t="shared" si="5"/>
        <v>0</v>
      </c>
      <c r="E17" s="3">
        <f t="shared" si="6"/>
        <v>0</v>
      </c>
      <c r="F17" s="3">
        <f t="shared" si="7"/>
        <v>27</v>
      </c>
      <c r="G17" s="3">
        <f t="shared" si="3"/>
        <v>37.809983896940423</v>
      </c>
      <c r="H17" s="3">
        <f t="shared" si="8"/>
        <v>0</v>
      </c>
    </row>
    <row r="18" spans="1:8" x14ac:dyDescent="0.2">
      <c r="A18" s="3">
        <v>1918</v>
      </c>
      <c r="D18" s="3">
        <f t="shared" si="5"/>
        <v>0</v>
      </c>
      <c r="E18" s="3">
        <f t="shared" si="6"/>
        <v>0</v>
      </c>
      <c r="F18" s="3">
        <f t="shared" si="7"/>
        <v>27</v>
      </c>
      <c r="G18" s="3">
        <f t="shared" si="3"/>
        <v>37.809983896940423</v>
      </c>
      <c r="H18" s="3">
        <f t="shared" si="8"/>
        <v>0</v>
      </c>
    </row>
    <row r="19" spans="1:8" x14ac:dyDescent="0.2">
      <c r="A19" s="3">
        <v>1919</v>
      </c>
      <c r="D19" s="3">
        <f t="shared" si="5"/>
        <v>0</v>
      </c>
      <c r="E19" s="3">
        <f t="shared" si="6"/>
        <v>0</v>
      </c>
      <c r="F19" s="3">
        <f t="shared" si="7"/>
        <v>27</v>
      </c>
      <c r="G19" s="3">
        <f t="shared" si="3"/>
        <v>37.809983896940423</v>
      </c>
      <c r="H19" s="3">
        <f t="shared" si="8"/>
        <v>0</v>
      </c>
    </row>
    <row r="20" spans="1:8" x14ac:dyDescent="0.2">
      <c r="A20" s="3">
        <v>1920</v>
      </c>
      <c r="D20" s="3">
        <f t="shared" si="5"/>
        <v>0</v>
      </c>
      <c r="E20" s="3">
        <f t="shared" si="6"/>
        <v>0</v>
      </c>
      <c r="F20" s="3">
        <f t="shared" si="7"/>
        <v>27</v>
      </c>
      <c r="G20" s="3">
        <f t="shared" si="3"/>
        <v>37.809983896940423</v>
      </c>
      <c r="H20" s="3">
        <f t="shared" si="8"/>
        <v>0</v>
      </c>
    </row>
    <row r="21" spans="1:8" x14ac:dyDescent="0.2">
      <c r="A21" s="3">
        <v>1921</v>
      </c>
      <c r="D21" s="3">
        <f t="shared" si="5"/>
        <v>0</v>
      </c>
      <c r="E21" s="3">
        <f t="shared" si="6"/>
        <v>0</v>
      </c>
      <c r="F21" s="3">
        <f t="shared" si="7"/>
        <v>29</v>
      </c>
      <c r="G21" s="3">
        <f t="shared" si="3"/>
        <v>35.202398800599703</v>
      </c>
      <c r="H21" s="3">
        <f t="shared" si="8"/>
        <v>0</v>
      </c>
    </row>
    <row r="22" spans="1:8" x14ac:dyDescent="0.2">
      <c r="A22" s="3">
        <v>1922</v>
      </c>
      <c r="D22" s="3">
        <f t="shared" si="5"/>
        <v>0</v>
      </c>
      <c r="E22" s="3">
        <f t="shared" si="6"/>
        <v>0</v>
      </c>
      <c r="F22" s="3">
        <f t="shared" si="7"/>
        <v>26</v>
      </c>
      <c r="G22" s="3">
        <f t="shared" si="3"/>
        <v>39.264214046822744</v>
      </c>
      <c r="H22" s="3">
        <f t="shared" si="8"/>
        <v>0</v>
      </c>
    </row>
    <row r="23" spans="1:8" x14ac:dyDescent="0.2">
      <c r="A23" s="3">
        <v>1923</v>
      </c>
      <c r="D23" s="3">
        <f t="shared" si="5"/>
        <v>0</v>
      </c>
      <c r="E23" s="3">
        <f t="shared" si="6"/>
        <v>0</v>
      </c>
      <c r="F23" s="3">
        <f t="shared" si="7"/>
        <v>25</v>
      </c>
      <c r="G23" s="3">
        <f t="shared" si="3"/>
        <v>40.834782608695654</v>
      </c>
      <c r="H23" s="3">
        <f t="shared" si="8"/>
        <v>0</v>
      </c>
    </row>
    <row r="24" spans="1:8" x14ac:dyDescent="0.2">
      <c r="A24" s="3">
        <v>1924</v>
      </c>
      <c r="D24" s="3">
        <f t="shared" si="5"/>
        <v>0</v>
      </c>
      <c r="E24" s="3">
        <f t="shared" si="6"/>
        <v>0</v>
      </c>
      <c r="F24" s="3">
        <f t="shared" si="7"/>
        <v>26</v>
      </c>
      <c r="G24" s="3">
        <f t="shared" si="3"/>
        <v>39.264214046822744</v>
      </c>
      <c r="H24" s="3">
        <f t="shared" si="8"/>
        <v>0</v>
      </c>
    </row>
    <row r="25" spans="1:8" x14ac:dyDescent="0.2">
      <c r="A25" s="3">
        <v>1925</v>
      </c>
      <c r="D25" s="3">
        <f t="shared" si="5"/>
        <v>0</v>
      </c>
      <c r="E25" s="3">
        <f t="shared" si="6"/>
        <v>0</v>
      </c>
      <c r="F25" s="3">
        <f t="shared" si="7"/>
        <v>25</v>
      </c>
      <c r="G25" s="3">
        <f t="shared" si="3"/>
        <v>40.834782608695654</v>
      </c>
      <c r="H25" s="3">
        <f t="shared" si="8"/>
        <v>0</v>
      </c>
    </row>
    <row r="26" spans="1:8" x14ac:dyDescent="0.2">
      <c r="A26" s="3">
        <v>1926</v>
      </c>
      <c r="D26" s="3">
        <f t="shared" si="5"/>
        <v>0</v>
      </c>
      <c r="E26" s="3">
        <f t="shared" si="6"/>
        <v>0</v>
      </c>
      <c r="F26" s="3">
        <f t="shared" si="7"/>
        <v>26</v>
      </c>
      <c r="G26" s="3">
        <f t="shared" si="3"/>
        <v>39.264214046822744</v>
      </c>
      <c r="H26" s="3">
        <f t="shared" si="8"/>
        <v>0</v>
      </c>
    </row>
    <row r="27" spans="1:8" x14ac:dyDescent="0.2">
      <c r="A27" s="3">
        <v>1927</v>
      </c>
      <c r="D27" s="3">
        <f t="shared" si="5"/>
        <v>0</v>
      </c>
      <c r="E27" s="3">
        <f t="shared" si="6"/>
        <v>0</v>
      </c>
      <c r="F27" s="3">
        <f t="shared" si="7"/>
        <v>26</v>
      </c>
      <c r="G27" s="3">
        <f t="shared" si="3"/>
        <v>39.264214046822744</v>
      </c>
      <c r="H27" s="3">
        <f t="shared" si="8"/>
        <v>0</v>
      </c>
    </row>
    <row r="28" spans="1:8" x14ac:dyDescent="0.2">
      <c r="A28" s="3">
        <v>1928</v>
      </c>
      <c r="D28" s="3">
        <f t="shared" si="5"/>
        <v>0</v>
      </c>
      <c r="E28" s="3">
        <f t="shared" si="6"/>
        <v>0</v>
      </c>
      <c r="F28" s="3">
        <f t="shared" si="7"/>
        <v>25</v>
      </c>
      <c r="G28" s="3">
        <f t="shared" si="3"/>
        <v>40.834782608695654</v>
      </c>
      <c r="H28" s="3">
        <f t="shared" si="8"/>
        <v>0</v>
      </c>
    </row>
    <row r="29" spans="1:8" x14ac:dyDescent="0.2">
      <c r="A29" s="3">
        <v>1929</v>
      </c>
      <c r="D29" s="3">
        <f t="shared" si="5"/>
        <v>0</v>
      </c>
      <c r="E29" s="3">
        <f t="shared" si="6"/>
        <v>0</v>
      </c>
      <c r="F29" s="3">
        <f t="shared" si="7"/>
        <v>25</v>
      </c>
      <c r="G29" s="3">
        <f t="shared" si="3"/>
        <v>40.834782608695654</v>
      </c>
      <c r="H29" s="3">
        <f t="shared" si="8"/>
        <v>0</v>
      </c>
    </row>
    <row r="30" spans="1:8" x14ac:dyDescent="0.2">
      <c r="A30" s="3">
        <v>1930</v>
      </c>
      <c r="D30" s="3">
        <f t="shared" si="5"/>
        <v>0</v>
      </c>
      <c r="E30" s="3">
        <f t="shared" si="6"/>
        <v>0</v>
      </c>
      <c r="F30" s="3">
        <f t="shared" si="7"/>
        <v>25</v>
      </c>
      <c r="G30" s="3">
        <f t="shared" si="3"/>
        <v>40.834782608695654</v>
      </c>
      <c r="H30" s="3">
        <f t="shared" si="8"/>
        <v>0</v>
      </c>
    </row>
    <row r="31" spans="1:8" x14ac:dyDescent="0.2">
      <c r="A31" s="3">
        <v>1931</v>
      </c>
      <c r="D31" s="3">
        <f t="shared" si="5"/>
        <v>0</v>
      </c>
      <c r="E31" s="3">
        <f t="shared" si="6"/>
        <v>0</v>
      </c>
      <c r="F31" s="3">
        <f t="shared" si="7"/>
        <v>24</v>
      </c>
      <c r="G31" s="3">
        <f t="shared" si="3"/>
        <v>42.536231884057976</v>
      </c>
      <c r="H31" s="3">
        <f t="shared" si="8"/>
        <v>0</v>
      </c>
    </row>
    <row r="32" spans="1:8" x14ac:dyDescent="0.2">
      <c r="A32" s="3">
        <v>1932</v>
      </c>
      <c r="D32" s="3">
        <f t="shared" si="5"/>
        <v>0</v>
      </c>
      <c r="E32" s="3">
        <f t="shared" si="6"/>
        <v>0</v>
      </c>
      <c r="F32" s="3">
        <f t="shared" si="7"/>
        <v>22</v>
      </c>
      <c r="G32" s="3">
        <f t="shared" si="3"/>
        <v>46.403162055335969</v>
      </c>
      <c r="H32" s="3">
        <f t="shared" si="8"/>
        <v>0</v>
      </c>
    </row>
    <row r="33" spans="1:8" x14ac:dyDescent="0.2">
      <c r="A33" s="3">
        <v>1933</v>
      </c>
      <c r="D33" s="3">
        <f t="shared" si="5"/>
        <v>0</v>
      </c>
      <c r="E33" s="3">
        <f t="shared" si="6"/>
        <v>0</v>
      </c>
      <c r="F33" s="3">
        <f t="shared" si="7"/>
        <v>20</v>
      </c>
      <c r="G33" s="3">
        <f t="shared" si="3"/>
        <v>51.04347826086957</v>
      </c>
      <c r="H33" s="3">
        <f t="shared" si="8"/>
        <v>0</v>
      </c>
    </row>
    <row r="34" spans="1:8" x14ac:dyDescent="0.2">
      <c r="A34" s="3">
        <v>1934</v>
      </c>
      <c r="D34" s="3">
        <f t="shared" si="5"/>
        <v>0</v>
      </c>
      <c r="E34" s="3">
        <f t="shared" si="6"/>
        <v>0</v>
      </c>
      <c r="F34" s="3">
        <f t="shared" si="7"/>
        <v>20</v>
      </c>
      <c r="G34" s="3">
        <f t="shared" si="3"/>
        <v>51.04347826086957</v>
      </c>
      <c r="H34" s="3">
        <f t="shared" si="8"/>
        <v>0</v>
      </c>
    </row>
    <row r="35" spans="1:8" x14ac:dyDescent="0.2">
      <c r="A35" s="3">
        <v>1935</v>
      </c>
      <c r="D35" s="3">
        <f t="shared" si="5"/>
        <v>0</v>
      </c>
      <c r="E35" s="3">
        <f t="shared" si="6"/>
        <v>0</v>
      </c>
      <c r="F35" s="3">
        <f t="shared" si="7"/>
        <v>21</v>
      </c>
      <c r="G35" s="3">
        <f t="shared" si="3"/>
        <v>48.612836438923395</v>
      </c>
      <c r="H35" s="3">
        <f t="shared" si="8"/>
        <v>0</v>
      </c>
    </row>
    <row r="36" spans="1:8" x14ac:dyDescent="0.2">
      <c r="A36" s="3">
        <v>1936</v>
      </c>
      <c r="D36" s="3">
        <f t="shared" si="5"/>
        <v>0</v>
      </c>
      <c r="E36" s="3">
        <f t="shared" si="6"/>
        <v>0</v>
      </c>
      <c r="F36" s="3">
        <f t="shared" si="7"/>
        <v>21</v>
      </c>
      <c r="G36" s="3">
        <f t="shared" si="3"/>
        <v>48.612836438923395</v>
      </c>
      <c r="H36" s="3">
        <f t="shared" si="8"/>
        <v>0</v>
      </c>
    </row>
    <row r="37" spans="1:8" x14ac:dyDescent="0.2">
      <c r="A37" s="3">
        <v>1937</v>
      </c>
      <c r="D37" s="3">
        <f t="shared" si="5"/>
        <v>0</v>
      </c>
      <c r="E37" s="3">
        <f t="shared" si="6"/>
        <v>0</v>
      </c>
      <c r="F37" s="3">
        <f t="shared" si="7"/>
        <v>23</v>
      </c>
      <c r="G37" s="3">
        <f t="shared" si="3"/>
        <v>44.385633270321364</v>
      </c>
      <c r="H37" s="3">
        <f t="shared" si="8"/>
        <v>0</v>
      </c>
    </row>
    <row r="38" spans="1:8" x14ac:dyDescent="0.2">
      <c r="A38" s="3">
        <v>1938</v>
      </c>
      <c r="D38" s="3">
        <f t="shared" si="5"/>
        <v>0</v>
      </c>
      <c r="E38" s="3">
        <f t="shared" si="6"/>
        <v>0</v>
      </c>
      <c r="F38" s="3">
        <f t="shared" si="7"/>
        <v>24</v>
      </c>
      <c r="G38" s="3">
        <f t="shared" ref="G38:G69" si="9">M$5/F38</f>
        <v>42.536231884057976</v>
      </c>
      <c r="H38" s="3">
        <f t="shared" si="8"/>
        <v>0</v>
      </c>
    </row>
    <row r="39" spans="1:8" x14ac:dyDescent="0.2">
      <c r="A39" s="3">
        <v>1939</v>
      </c>
      <c r="D39" s="3">
        <f t="shared" si="5"/>
        <v>0</v>
      </c>
      <c r="E39" s="3">
        <f t="shared" si="6"/>
        <v>0</v>
      </c>
      <c r="F39" s="3">
        <f t="shared" si="7"/>
        <v>25</v>
      </c>
      <c r="G39" s="3">
        <f t="shared" si="9"/>
        <v>40.834782608695654</v>
      </c>
      <c r="H39" s="3">
        <f t="shared" si="8"/>
        <v>0</v>
      </c>
    </row>
    <row r="40" spans="1:8" x14ac:dyDescent="0.2">
      <c r="A40" s="3">
        <v>1940</v>
      </c>
      <c r="B40" s="3">
        <f>(3.896289-0.053592-0.535987-0.318995)*2</f>
        <v>5.9754299999999994</v>
      </c>
      <c r="C40" s="3">
        <f>(1.96618-0.012853)*2</f>
        <v>3.9066540000000001</v>
      </c>
      <c r="D40" s="3">
        <f>B40+C40</f>
        <v>9.882083999999999</v>
      </c>
      <c r="E40" s="3">
        <f t="shared" si="6"/>
        <v>9.882083999999999</v>
      </c>
      <c r="F40" s="3">
        <f t="shared" si="7"/>
        <v>26</v>
      </c>
      <c r="G40" s="3">
        <f t="shared" si="9"/>
        <v>39.264214046822744</v>
      </c>
      <c r="H40" s="3">
        <f t="shared" si="8"/>
        <v>388.01226140468225</v>
      </c>
    </row>
    <row r="41" spans="1:8" x14ac:dyDescent="0.2">
      <c r="A41" s="3">
        <v>1941</v>
      </c>
      <c r="B41" s="3">
        <f>(4.271327-0.062822-0.540747-0.327722)*2</f>
        <v>6.6800720000000009</v>
      </c>
      <c r="C41" s="3">
        <f>(2.33093-0.013345)*2</f>
        <v>4.6351699999999996</v>
      </c>
      <c r="D41" s="3">
        <f t="shared" ref="D41:D50" si="10">B41+C41</f>
        <v>11.315242000000001</v>
      </c>
      <c r="E41" s="3">
        <f>D41-D40</f>
        <v>1.4331580000000024</v>
      </c>
      <c r="F41" s="3">
        <f t="shared" si="7"/>
        <v>27</v>
      </c>
      <c r="G41" s="3">
        <f t="shared" si="9"/>
        <v>37.809983896940423</v>
      </c>
      <c r="H41" s="3">
        <f t="shared" si="8"/>
        <v>54.187680901771429</v>
      </c>
    </row>
    <row r="42" spans="1:8" x14ac:dyDescent="0.2">
      <c r="A42" s="3">
        <v>1942</v>
      </c>
      <c r="B42" s="3">
        <f>(4.447311-0.065985-0.54583-0.325226)*2</f>
        <v>7.0205399999999987</v>
      </c>
      <c r="C42" s="3">
        <f>(2.66589-0.013345)*2</f>
        <v>5.3050899999999999</v>
      </c>
      <c r="D42" s="3">
        <f t="shared" si="10"/>
        <v>12.325629999999999</v>
      </c>
      <c r="E42" s="3">
        <f t="shared" ref="E42:E86" si="11">D42-D41</f>
        <v>1.0103879999999972</v>
      </c>
      <c r="F42" s="3">
        <f t="shared" si="7"/>
        <v>27</v>
      </c>
      <c r="G42" s="3">
        <f t="shared" si="9"/>
        <v>37.809983896940423</v>
      </c>
      <c r="H42" s="3">
        <f t="shared" si="8"/>
        <v>38.202754009661732</v>
      </c>
    </row>
    <row r="43" spans="1:8" x14ac:dyDescent="0.2">
      <c r="A43" s="3">
        <v>1943</v>
      </c>
      <c r="B43" s="3">
        <f>(4.488036-0.066334-0.549811-0.328025)*2</f>
        <v>7.087731999999999</v>
      </c>
      <c r="C43" s="3">
        <f>(2.946901-0.013315)*2</f>
        <v>5.8671720000000001</v>
      </c>
      <c r="D43" s="3">
        <f t="shared" si="10"/>
        <v>12.954903999999999</v>
      </c>
      <c r="E43" s="3">
        <f t="shared" si="11"/>
        <v>0.62927400000000056</v>
      </c>
      <c r="F43" s="3">
        <f t="shared" ref="F43:F74" si="12">VLOOKUP(A43,CPI,2,FALSE)</f>
        <v>29</v>
      </c>
      <c r="G43" s="3">
        <f t="shared" si="9"/>
        <v>35.202398800599703</v>
      </c>
      <c r="H43" s="3">
        <f t="shared" si="8"/>
        <v>22.151954302848598</v>
      </c>
    </row>
    <row r="44" spans="1:8" x14ac:dyDescent="0.2">
      <c r="A44" s="3">
        <v>1944</v>
      </c>
      <c r="B44" s="3">
        <f>(4.606043-0.072915-0.55635-0.33053)*2</f>
        <v>7.292495999999999</v>
      </c>
      <c r="C44" s="3">
        <f>(3.432015-0.01844)*2</f>
        <v>6.8271499999999996</v>
      </c>
      <c r="D44" s="3">
        <f t="shared" si="10"/>
        <v>14.119645999999999</v>
      </c>
      <c r="E44" s="3">
        <f t="shared" si="11"/>
        <v>1.1647420000000004</v>
      </c>
      <c r="F44" s="3">
        <f t="shared" si="12"/>
        <v>29</v>
      </c>
      <c r="G44" s="3">
        <f t="shared" si="9"/>
        <v>35.202398800599703</v>
      </c>
      <c r="H44" s="3">
        <f t="shared" si="8"/>
        <v>41.001712383808112</v>
      </c>
    </row>
    <row r="45" spans="1:8" x14ac:dyDescent="0.2">
      <c r="A45" s="3">
        <v>1945</v>
      </c>
      <c r="B45" s="3">
        <f>(4.897661-0.071275-0.57396-0.346089)*2</f>
        <v>7.8126739999999995</v>
      </c>
      <c r="C45" s="3">
        <f>(3.821679-0.018441-0.004394)*2</f>
        <v>7.5976879999999998</v>
      </c>
      <c r="D45" s="3">
        <f t="shared" si="10"/>
        <v>15.410361999999999</v>
      </c>
      <c r="E45" s="3">
        <f t="shared" si="11"/>
        <v>1.2907159999999998</v>
      </c>
      <c r="F45" s="3">
        <f t="shared" si="12"/>
        <v>30</v>
      </c>
      <c r="G45" s="3">
        <f t="shared" si="9"/>
        <v>34.028985507246382</v>
      </c>
      <c r="H45" s="3">
        <f t="shared" si="8"/>
        <v>43.92175605797101</v>
      </c>
    </row>
    <row r="46" spans="1:8" x14ac:dyDescent="0.2">
      <c r="A46" s="3">
        <v>1946</v>
      </c>
      <c r="B46" s="3">
        <f>(5.118578-0.071275-0.593845-0.36044)*2</f>
        <v>8.1860360000000014</v>
      </c>
      <c r="C46" s="3">
        <f>(4.256544-0.087752-0.006806)*2</f>
        <v>8.3239719999999995</v>
      </c>
      <c r="D46" s="3">
        <f t="shared" si="10"/>
        <v>16.510007999999999</v>
      </c>
      <c r="E46" s="3">
        <f t="shared" si="11"/>
        <v>1.0996459999999999</v>
      </c>
      <c r="F46" s="3">
        <f t="shared" si="12"/>
        <v>30</v>
      </c>
      <c r="G46" s="3">
        <f t="shared" si="9"/>
        <v>34.028985507246382</v>
      </c>
      <c r="H46" s="3">
        <f t="shared" si="8"/>
        <v>37.419837797101451</v>
      </c>
    </row>
    <row r="47" spans="1:8" x14ac:dyDescent="0.2">
      <c r="A47" s="3">
        <v>1947</v>
      </c>
      <c r="B47" s="3">
        <f>(5.679336-0.068734-0.611752-0.391743)*2</f>
        <v>9.2142140000000001</v>
      </c>
      <c r="C47" s="3">
        <f>(4.965136-0.020661-0.007866)*2</f>
        <v>9.8732180000000014</v>
      </c>
      <c r="D47" s="3">
        <f t="shared" si="10"/>
        <v>19.087432</v>
      </c>
      <c r="E47" s="3">
        <f t="shared" si="11"/>
        <v>2.5774240000000006</v>
      </c>
      <c r="F47" s="3">
        <f t="shared" si="12"/>
        <v>30</v>
      </c>
      <c r="G47" s="3">
        <f t="shared" si="9"/>
        <v>34.028985507246382</v>
      </c>
      <c r="H47" s="3">
        <f t="shared" si="8"/>
        <v>87.707123942029014</v>
      </c>
    </row>
    <row r="48" spans="1:8" x14ac:dyDescent="0.2">
      <c r="A48" s="3">
        <v>1948</v>
      </c>
      <c r="B48" s="3">
        <f>(6.218304-0.07369-0.649701-0.395948)*2</f>
        <v>10.197929999999999</v>
      </c>
      <c r="C48" s="3">
        <f>(5.689022-0.18743-0.008085)*2</f>
        <v>10.987013999999999</v>
      </c>
      <c r="D48" s="3">
        <f t="shared" si="10"/>
        <v>21.184943999999998</v>
      </c>
      <c r="E48" s="3">
        <f t="shared" si="11"/>
        <v>2.0975119999999983</v>
      </c>
      <c r="F48" s="3">
        <f t="shared" si="12"/>
        <v>33</v>
      </c>
      <c r="G48" s="3">
        <f t="shared" si="9"/>
        <v>30.93544137022398</v>
      </c>
      <c r="H48" s="3">
        <f t="shared" si="8"/>
        <v>64.88745949934119</v>
      </c>
    </row>
    <row r="49" spans="1:8" x14ac:dyDescent="0.2">
      <c r="A49" s="3">
        <v>1949</v>
      </c>
      <c r="B49" s="3">
        <f>(7.298086-0.069525-0.701881-0.397056)*2</f>
        <v>12.259247999999999</v>
      </c>
      <c r="C49" s="3">
        <f>(6.466023-0.016822-0.008085)*2</f>
        <v>12.882231999999998</v>
      </c>
      <c r="D49" s="3">
        <f t="shared" si="10"/>
        <v>25.141479999999998</v>
      </c>
      <c r="E49" s="3">
        <f t="shared" si="11"/>
        <v>3.9565359999999998</v>
      </c>
      <c r="F49" s="3">
        <f t="shared" si="12"/>
        <v>34</v>
      </c>
      <c r="G49" s="3">
        <f t="shared" si="9"/>
        <v>30.025575447570333</v>
      </c>
      <c r="H49" s="3">
        <f t="shared" si="8"/>
        <v>118.79727017902813</v>
      </c>
    </row>
    <row r="50" spans="1:8" x14ac:dyDescent="0.2">
      <c r="A50" s="3">
        <v>1950</v>
      </c>
      <c r="B50" s="3">
        <f>(8.1904-0.074968-0.73173-0.400299)*2</f>
        <v>13.966806</v>
      </c>
      <c r="C50" s="3">
        <f>(7.165909-0.016822-0.008375)*2</f>
        <v>14.281423999999999</v>
      </c>
      <c r="D50" s="3">
        <f t="shared" si="10"/>
        <v>28.24823</v>
      </c>
      <c r="E50" s="3">
        <f t="shared" si="11"/>
        <v>3.1067500000000017</v>
      </c>
      <c r="F50" s="3">
        <f t="shared" si="12"/>
        <v>34</v>
      </c>
      <c r="G50" s="3">
        <f t="shared" si="9"/>
        <v>30.025575447570333</v>
      </c>
      <c r="H50" s="3">
        <f t="shared" si="8"/>
        <v>93.281956521739176</v>
      </c>
    </row>
    <row r="51" spans="1:8" x14ac:dyDescent="0.2">
      <c r="A51" s="3">
        <v>1951</v>
      </c>
      <c r="B51" s="3">
        <f>(9.823709-0.087393-0.789063-0.409608)*2</f>
        <v>17.075289999999995</v>
      </c>
      <c r="C51" s="3">
        <f>(8.357855-0.015179-0.008375)*2</f>
        <v>16.668602000000003</v>
      </c>
      <c r="D51" s="3">
        <f t="shared" ref="D51:D86" si="13">B51+C51</f>
        <v>33.743892000000002</v>
      </c>
      <c r="E51" s="3">
        <f t="shared" si="11"/>
        <v>5.4956620000000029</v>
      </c>
      <c r="F51" s="3">
        <f t="shared" si="12"/>
        <v>38</v>
      </c>
      <c r="G51" s="3">
        <f t="shared" si="9"/>
        <v>26.864988558352405</v>
      </c>
      <c r="H51" s="3">
        <f t="shared" si="8"/>
        <v>147.64089675057218</v>
      </c>
    </row>
    <row r="52" spans="1:8" x14ac:dyDescent="0.2">
      <c r="A52" s="3">
        <v>1952</v>
      </c>
      <c r="B52" s="3">
        <f>(11.505748-0.095933-0.798482-0.436941)*2</f>
        <v>20.348784000000002</v>
      </c>
      <c r="C52" s="3">
        <f>(10.06754-0.015311-0.008375)*2</f>
        <v>20.087707999999999</v>
      </c>
      <c r="D52" s="3">
        <f t="shared" si="13"/>
        <v>40.436492000000001</v>
      </c>
      <c r="E52" s="3">
        <f t="shared" si="11"/>
        <v>6.6925999999999988</v>
      </c>
      <c r="F52" s="3">
        <f t="shared" si="12"/>
        <v>42</v>
      </c>
      <c r="G52" s="3">
        <f t="shared" si="9"/>
        <v>24.306418219461698</v>
      </c>
      <c r="H52" s="3">
        <f t="shared" si="8"/>
        <v>162.67313457556932</v>
      </c>
    </row>
    <row r="53" spans="1:8" x14ac:dyDescent="0.2">
      <c r="A53" s="3">
        <v>1953</v>
      </c>
      <c r="B53" s="3">
        <f>(13.684267-0.09258-0.84713-0.433337)*2</f>
        <v>24.622440000000001</v>
      </c>
      <c r="C53" s="3">
        <f>(12.134151-0.015311-0.008375)*2</f>
        <v>24.220929999999999</v>
      </c>
      <c r="D53" s="3">
        <f t="shared" si="13"/>
        <v>48.84337</v>
      </c>
      <c r="E53" s="3">
        <f t="shared" si="11"/>
        <v>8.406877999999999</v>
      </c>
      <c r="F53" s="3">
        <f t="shared" si="12"/>
        <v>44</v>
      </c>
      <c r="G53" s="3">
        <f t="shared" si="9"/>
        <v>23.201581027667984</v>
      </c>
      <c r="H53" s="3">
        <f t="shared" si="8"/>
        <v>195.05286110671935</v>
      </c>
    </row>
    <row r="54" spans="1:8" x14ac:dyDescent="0.2">
      <c r="A54" s="3">
        <v>1954</v>
      </c>
      <c r="B54" s="3">
        <f>(15.839981-0.12504-1.000295-0.473531)*2</f>
        <v>28.482230000000001</v>
      </c>
      <c r="C54" s="3">
        <f>(14.323045-0.009052)*2</f>
        <v>28.627986</v>
      </c>
      <c r="D54" s="3">
        <f t="shared" si="13"/>
        <v>57.110216000000001</v>
      </c>
      <c r="E54" s="3">
        <f t="shared" si="11"/>
        <v>8.266846000000001</v>
      </c>
      <c r="F54" s="3">
        <f t="shared" si="12"/>
        <v>46</v>
      </c>
      <c r="G54" s="3">
        <f t="shared" si="9"/>
        <v>22.192816635160682</v>
      </c>
      <c r="H54" s="3">
        <f t="shared" si="8"/>
        <v>183.46459742911156</v>
      </c>
    </row>
    <row r="55" spans="1:8" x14ac:dyDescent="0.2">
      <c r="A55" s="3">
        <v>1955</v>
      </c>
      <c r="B55" s="3">
        <f>(17.395021-0.127262-0.973764-0.486002)*2</f>
        <v>31.615985999999999</v>
      </c>
      <c r="C55" s="3">
        <f>15.924432*2</f>
        <v>31.848863999999999</v>
      </c>
      <c r="D55" s="3">
        <f t="shared" si="13"/>
        <v>63.464849999999998</v>
      </c>
      <c r="E55" s="3">
        <f t="shared" si="11"/>
        <v>6.3546339999999972</v>
      </c>
      <c r="F55" s="3">
        <f t="shared" si="12"/>
        <v>48</v>
      </c>
      <c r="G55" s="3">
        <f t="shared" si="9"/>
        <v>21.268115942028988</v>
      </c>
      <c r="H55" s="3">
        <f t="shared" si="8"/>
        <v>135.15109268115938</v>
      </c>
    </row>
    <row r="56" spans="1:8" x14ac:dyDescent="0.2">
      <c r="A56" s="3">
        <v>1956</v>
      </c>
      <c r="B56" s="3">
        <f>13.98344*2</f>
        <v>27.96688</v>
      </c>
      <c r="C56" s="3">
        <f>15.694696*2</f>
        <v>31.389392000000001</v>
      </c>
      <c r="D56" s="3">
        <f t="shared" si="13"/>
        <v>59.356272000000004</v>
      </c>
      <c r="E56" s="3">
        <f t="shared" si="11"/>
        <v>-4.1085779999999943</v>
      </c>
      <c r="F56" s="3">
        <f t="shared" si="12"/>
        <v>49</v>
      </c>
      <c r="G56" s="3">
        <f t="shared" si="9"/>
        <v>20.8340727595386</v>
      </c>
      <c r="H56" s="3">
        <f t="shared" si="8"/>
        <v>-85.598412990239467</v>
      </c>
    </row>
    <row r="57" spans="1:8" x14ac:dyDescent="0.2">
      <c r="A57" s="3">
        <v>1957</v>
      </c>
      <c r="B57" s="3">
        <f>16.093613*2</f>
        <v>32.187226000000003</v>
      </c>
      <c r="C57" s="3">
        <f>16.502962*2</f>
        <v>33.005924</v>
      </c>
      <c r="D57" s="3">
        <f t="shared" si="13"/>
        <v>65.193150000000003</v>
      </c>
      <c r="E57" s="3">
        <f t="shared" si="11"/>
        <v>5.8368779999999987</v>
      </c>
      <c r="F57" s="3">
        <f t="shared" si="12"/>
        <v>50</v>
      </c>
      <c r="G57" s="3">
        <f t="shared" si="9"/>
        <v>20.417391304347827</v>
      </c>
      <c r="H57" s="3">
        <f t="shared" si="8"/>
        <v>119.17382212173911</v>
      </c>
    </row>
    <row r="58" spans="1:8" x14ac:dyDescent="0.2">
      <c r="A58" s="3">
        <v>1958</v>
      </c>
      <c r="B58" s="3">
        <f>17.860922*2</f>
        <v>35.721843999999997</v>
      </c>
      <c r="C58" s="3">
        <f>17.457985*2</f>
        <v>34.915970000000002</v>
      </c>
      <c r="D58" s="3">
        <f t="shared" si="13"/>
        <v>70.637813999999992</v>
      </c>
      <c r="E58" s="3">
        <f t="shared" si="11"/>
        <v>5.4446639999999888</v>
      </c>
      <c r="F58" s="3">
        <f t="shared" si="12"/>
        <v>51</v>
      </c>
      <c r="G58" s="3">
        <f t="shared" si="9"/>
        <v>20.017050298380223</v>
      </c>
      <c r="H58" s="3">
        <f t="shared" si="8"/>
        <v>108.98611314577984</v>
      </c>
    </row>
    <row r="59" spans="1:8" x14ac:dyDescent="0.2">
      <c r="A59" s="3">
        <v>1959</v>
      </c>
      <c r="B59" s="3">
        <f>19.544525*2</f>
        <v>39.08905</v>
      </c>
      <c r="C59" s="3">
        <f>19.049472*2</f>
        <v>38.098944000000003</v>
      </c>
      <c r="D59" s="3">
        <f t="shared" si="13"/>
        <v>77.187994000000003</v>
      </c>
      <c r="E59" s="3">
        <f t="shared" si="11"/>
        <v>6.5501800000000117</v>
      </c>
      <c r="F59" s="3">
        <f t="shared" si="12"/>
        <v>55</v>
      </c>
      <c r="G59" s="3">
        <f t="shared" si="9"/>
        <v>18.561264822134387</v>
      </c>
      <c r="H59" s="3">
        <f t="shared" si="8"/>
        <v>121.57962561264843</v>
      </c>
    </row>
    <row r="60" spans="1:8" x14ac:dyDescent="0.2">
      <c r="A60" s="3">
        <v>1960</v>
      </c>
      <c r="B60" s="3">
        <f>20.371675*2</f>
        <v>40.74335</v>
      </c>
      <c r="C60" s="3">
        <f>19.537265*2</f>
        <v>39.074530000000003</v>
      </c>
      <c r="D60" s="3">
        <f t="shared" si="13"/>
        <v>79.817880000000002</v>
      </c>
      <c r="E60" s="3">
        <f t="shared" si="11"/>
        <v>2.6298859999999991</v>
      </c>
      <c r="F60" s="3">
        <f t="shared" si="12"/>
        <v>55</v>
      </c>
      <c r="G60" s="3">
        <f t="shared" si="9"/>
        <v>18.561264822134387</v>
      </c>
      <c r="H60" s="3">
        <f t="shared" si="8"/>
        <v>48.814010498023698</v>
      </c>
    </row>
    <row r="61" spans="1:8" x14ac:dyDescent="0.2">
      <c r="A61" s="3">
        <v>1961</v>
      </c>
      <c r="B61" s="3">
        <f>20.770947*2</f>
        <v>41.541893999999999</v>
      </c>
      <c r="C61" s="3">
        <f>20.436819*2</f>
        <v>40.873638</v>
      </c>
      <c r="D61" s="3">
        <f t="shared" si="13"/>
        <v>82.415531999999999</v>
      </c>
      <c r="E61" s="3">
        <f t="shared" si="11"/>
        <v>2.5976519999999965</v>
      </c>
      <c r="F61" s="3">
        <f t="shared" si="12"/>
        <v>56</v>
      </c>
      <c r="G61" s="3">
        <f t="shared" si="9"/>
        <v>18.229813664596275</v>
      </c>
      <c r="H61" s="3">
        <f t="shared" si="8"/>
        <v>47.354711925465779</v>
      </c>
    </row>
    <row r="62" spans="1:8" x14ac:dyDescent="0.2">
      <c r="A62" s="3">
        <v>1962</v>
      </c>
      <c r="B62" s="3">
        <f>21.25348*2</f>
        <v>42.506959999999999</v>
      </c>
      <c r="C62" s="3">
        <f>20.58537*2</f>
        <v>41.170740000000002</v>
      </c>
      <c r="D62" s="3">
        <f t="shared" si="13"/>
        <v>83.677700000000002</v>
      </c>
      <c r="E62" s="3">
        <f t="shared" si="11"/>
        <v>1.2621680000000026</v>
      </c>
      <c r="F62" s="3">
        <f t="shared" si="12"/>
        <v>58</v>
      </c>
      <c r="G62" s="3">
        <f t="shared" si="9"/>
        <v>17.601199400299851</v>
      </c>
      <c r="H62" s="3">
        <f t="shared" si="8"/>
        <v>22.215670644677708</v>
      </c>
    </row>
    <row r="63" spans="1:8" x14ac:dyDescent="0.2">
      <c r="A63" s="3">
        <v>1963</v>
      </c>
      <c r="B63" s="3">
        <f>24.44523*2</f>
        <v>48.890459999999997</v>
      </c>
      <c r="C63" s="3">
        <f>22.661188*2</f>
        <v>45.322375999999998</v>
      </c>
      <c r="D63" s="3">
        <f t="shared" si="13"/>
        <v>94.212835999999996</v>
      </c>
      <c r="E63" s="3">
        <f t="shared" si="11"/>
        <v>10.535135999999994</v>
      </c>
      <c r="F63" s="3">
        <f t="shared" si="12"/>
        <v>59</v>
      </c>
      <c r="G63" s="3">
        <f t="shared" si="9"/>
        <v>17.302873986735445</v>
      </c>
      <c r="H63" s="3">
        <f t="shared" si="8"/>
        <v>182.28813064112001</v>
      </c>
    </row>
    <row r="64" spans="1:8" x14ac:dyDescent="0.2">
      <c r="A64" s="3">
        <v>1964</v>
      </c>
      <c r="B64" s="3">
        <f>25.686592*2</f>
        <v>51.373184000000002</v>
      </c>
      <c r="C64" s="3">
        <f>23.677429*2</f>
        <v>47.354858</v>
      </c>
      <c r="D64" s="3">
        <f t="shared" si="13"/>
        <v>98.728042000000002</v>
      </c>
      <c r="E64" s="3">
        <f t="shared" si="11"/>
        <v>4.5152060000000063</v>
      </c>
      <c r="F64" s="3">
        <f t="shared" si="12"/>
        <v>60</v>
      </c>
      <c r="G64" s="3">
        <f t="shared" si="9"/>
        <v>17.014492753623191</v>
      </c>
      <c r="H64" s="3">
        <f t="shared" si="8"/>
        <v>76.823939768116063</v>
      </c>
    </row>
    <row r="65" spans="1:8" x14ac:dyDescent="0.2">
      <c r="A65" s="3">
        <v>1965</v>
      </c>
      <c r="B65" s="3">
        <f>25.893762*2</f>
        <v>51.787523999999998</v>
      </c>
      <c r="C65" s="3">
        <f>24.653685*2</f>
        <v>49.307369999999999</v>
      </c>
      <c r="D65" s="3">
        <f t="shared" si="13"/>
        <v>101.094894</v>
      </c>
      <c r="E65" s="3">
        <f t="shared" si="11"/>
        <v>2.3668519999999944</v>
      </c>
      <c r="F65" s="3">
        <f t="shared" si="12"/>
        <v>63</v>
      </c>
      <c r="G65" s="3">
        <f t="shared" si="9"/>
        <v>16.204278812974465</v>
      </c>
      <c r="H65" s="3">
        <f t="shared" si="8"/>
        <v>38.353129717046151</v>
      </c>
    </row>
    <row r="66" spans="1:8" x14ac:dyDescent="0.2">
      <c r="A66" s="3">
        <v>1966</v>
      </c>
      <c r="B66" s="3">
        <f>36.349068*2</f>
        <v>72.698136000000005</v>
      </c>
      <c r="C66" s="3">
        <f>32.599425*2</f>
        <v>65.198849999999993</v>
      </c>
      <c r="D66" s="3">
        <f t="shared" si="13"/>
        <v>137.896986</v>
      </c>
      <c r="E66" s="3">
        <f t="shared" si="11"/>
        <v>36.802092000000002</v>
      </c>
      <c r="F66" s="3">
        <f t="shared" si="12"/>
        <v>64</v>
      </c>
      <c r="G66" s="3">
        <f t="shared" si="9"/>
        <v>15.95108695652174</v>
      </c>
      <c r="H66" s="3">
        <f t="shared" si="8"/>
        <v>587.03336967391306</v>
      </c>
    </row>
    <row r="67" spans="1:8" x14ac:dyDescent="0.2">
      <c r="A67" s="3">
        <v>1967</v>
      </c>
      <c r="B67" s="3">
        <f>37.715068*2</f>
        <v>75.430136000000005</v>
      </c>
      <c r="C67" s="3">
        <f>33.266979*2</f>
        <v>66.533957999999998</v>
      </c>
      <c r="D67" s="3">
        <f t="shared" si="13"/>
        <v>141.96409399999999</v>
      </c>
      <c r="E67" s="3">
        <f t="shared" si="11"/>
        <v>4.0671079999999904</v>
      </c>
      <c r="F67" s="3">
        <f t="shared" si="12"/>
        <v>67</v>
      </c>
      <c r="G67" s="3">
        <f t="shared" si="9"/>
        <v>15.236859182349125</v>
      </c>
      <c r="H67" s="3">
        <f t="shared" si="8"/>
        <v>61.969951875405442</v>
      </c>
    </row>
    <row r="68" spans="1:8" x14ac:dyDescent="0.2">
      <c r="A68" s="3">
        <v>1968</v>
      </c>
      <c r="B68" s="3">
        <v>79.191229000000007</v>
      </c>
      <c r="C68" s="3">
        <v>74.390721999999997</v>
      </c>
      <c r="D68" s="3">
        <f t="shared" si="13"/>
        <v>153.581951</v>
      </c>
      <c r="E68" s="3">
        <f t="shared" si="11"/>
        <v>11.617857000000015</v>
      </c>
      <c r="F68" s="3">
        <f t="shared" si="12"/>
        <v>71</v>
      </c>
      <c r="G68" s="3">
        <f t="shared" si="9"/>
        <v>14.378444580526638</v>
      </c>
      <c r="H68" s="3">
        <f t="shared" si="8"/>
        <v>167.0467130189837</v>
      </c>
    </row>
    <row r="69" spans="1:8" x14ac:dyDescent="0.2">
      <c r="A69" s="3">
        <v>1969</v>
      </c>
      <c r="B69" s="3">
        <v>82.844329999999999</v>
      </c>
      <c r="C69" s="3">
        <v>74.916340000000005</v>
      </c>
      <c r="D69" s="3">
        <f t="shared" si="13"/>
        <v>157.76067</v>
      </c>
      <c r="E69" s="3">
        <f t="shared" si="11"/>
        <v>4.178719000000001</v>
      </c>
      <c r="F69" s="3">
        <f t="shared" si="12"/>
        <v>74</v>
      </c>
      <c r="G69" s="3">
        <f t="shared" si="9"/>
        <v>13.795534665099883</v>
      </c>
      <c r="H69" s="3">
        <f t="shared" si="8"/>
        <v>57.647662820211529</v>
      </c>
    </row>
    <row r="70" spans="1:8" x14ac:dyDescent="0.2">
      <c r="A70" s="3">
        <v>1970</v>
      </c>
      <c r="B70" s="3">
        <v>100.800622</v>
      </c>
      <c r="C70" s="3">
        <v>82.953331000000006</v>
      </c>
      <c r="D70" s="3">
        <f t="shared" si="13"/>
        <v>183.75395300000002</v>
      </c>
      <c r="E70" s="3">
        <f t="shared" si="11"/>
        <v>25.993283000000019</v>
      </c>
      <c r="F70" s="3">
        <f t="shared" si="12"/>
        <v>78</v>
      </c>
      <c r="G70" s="3">
        <f t="shared" ref="G70:G86" si="14">M$5/F70</f>
        <v>13.088071348940915</v>
      </c>
      <c r="H70" s="3">
        <f t="shared" si="8"/>
        <v>340.20194249721322</v>
      </c>
    </row>
    <row r="71" spans="1:8" x14ac:dyDescent="0.2">
      <c r="A71" s="3">
        <v>1971</v>
      </c>
      <c r="B71" s="3">
        <v>102.199895</v>
      </c>
      <c r="C71" s="3">
        <v>86.398009000000002</v>
      </c>
      <c r="D71" s="3">
        <f t="shared" si="13"/>
        <v>188.597904</v>
      </c>
      <c r="E71" s="3">
        <f t="shared" si="11"/>
        <v>4.8439509999999757</v>
      </c>
      <c r="F71" s="3">
        <f t="shared" si="12"/>
        <v>86</v>
      </c>
      <c r="G71" s="3">
        <f t="shared" si="14"/>
        <v>11.870576339737109</v>
      </c>
      <c r="H71" s="3">
        <f t="shared" si="8"/>
        <v>57.500490131445623</v>
      </c>
    </row>
    <row r="72" spans="1:8" x14ac:dyDescent="0.2">
      <c r="A72" s="3">
        <v>1972</v>
      </c>
      <c r="B72" s="3">
        <v>112.536637</v>
      </c>
      <c r="C72" s="3">
        <v>91.215839000000003</v>
      </c>
      <c r="D72" s="3">
        <f t="shared" si="13"/>
        <v>203.752476</v>
      </c>
      <c r="E72" s="3">
        <f t="shared" si="11"/>
        <v>15.154572000000002</v>
      </c>
      <c r="F72" s="3">
        <f t="shared" si="12"/>
        <v>93</v>
      </c>
      <c r="G72" s="3">
        <f t="shared" si="14"/>
        <v>10.977092099111735</v>
      </c>
      <c r="H72" s="3">
        <f t="shared" si="8"/>
        <v>166.35313256661993</v>
      </c>
    </row>
    <row r="73" spans="1:8" x14ac:dyDescent="0.2">
      <c r="A73" s="3">
        <v>1973</v>
      </c>
      <c r="B73" s="3">
        <v>124.73487</v>
      </c>
      <c r="C73" s="3">
        <v>106.945342</v>
      </c>
      <c r="D73" s="3">
        <f t="shared" si="13"/>
        <v>231.68021199999998</v>
      </c>
      <c r="E73" s="3">
        <f t="shared" si="11"/>
        <v>27.927735999999982</v>
      </c>
      <c r="F73" s="3">
        <f t="shared" si="12"/>
        <v>99</v>
      </c>
      <c r="G73" s="3">
        <f t="shared" si="14"/>
        <v>10.311813790074661</v>
      </c>
      <c r="H73" s="3">
        <f t="shared" si="8"/>
        <v>287.98561321036436</v>
      </c>
    </row>
    <row r="74" spans="1:8" x14ac:dyDescent="0.2">
      <c r="A74" s="3">
        <v>1974</v>
      </c>
      <c r="B74" s="3">
        <v>136.89737500000001</v>
      </c>
      <c r="C74" s="3">
        <v>117.199727</v>
      </c>
      <c r="D74" s="3">
        <f t="shared" si="13"/>
        <v>254.09710200000001</v>
      </c>
      <c r="E74" s="3">
        <f t="shared" si="11"/>
        <v>22.416890000000024</v>
      </c>
      <c r="F74" s="3">
        <f t="shared" si="12"/>
        <v>109</v>
      </c>
      <c r="G74" s="3">
        <f t="shared" si="14"/>
        <v>9.365775827682489</v>
      </c>
      <c r="H74" s="3">
        <f t="shared" si="8"/>
        <v>209.95156649381752</v>
      </c>
    </row>
    <row r="75" spans="1:8" x14ac:dyDescent="0.2">
      <c r="A75" s="3">
        <v>1975</v>
      </c>
      <c r="B75" s="3">
        <v>149.68535</v>
      </c>
      <c r="C75" s="3">
        <v>119.330349</v>
      </c>
      <c r="D75" s="3">
        <f t="shared" si="13"/>
        <v>269.01569899999998</v>
      </c>
      <c r="E75" s="3">
        <f t="shared" si="11"/>
        <v>14.918596999999977</v>
      </c>
      <c r="F75" s="3">
        <f t="shared" ref="F75:F86" si="15">VLOOKUP(A75,CPI,2,FALSE)</f>
        <v>123</v>
      </c>
      <c r="G75" s="3">
        <f t="shared" si="14"/>
        <v>8.29975256274302</v>
      </c>
      <c r="H75" s="3">
        <f t="shared" si="8"/>
        <v>123.82066368328015</v>
      </c>
    </row>
    <row r="76" spans="1:8" x14ac:dyDescent="0.2">
      <c r="A76" s="3">
        <v>1976</v>
      </c>
      <c r="B76" s="3">
        <v>161.302299</v>
      </c>
      <c r="C76" s="3">
        <v>128.14557199999999</v>
      </c>
      <c r="D76" s="3">
        <f t="shared" si="13"/>
        <v>289.44787099999996</v>
      </c>
      <c r="E76" s="3">
        <f t="shared" si="11"/>
        <v>20.43217199999998</v>
      </c>
      <c r="F76" s="3">
        <f t="shared" si="15"/>
        <v>145</v>
      </c>
      <c r="G76" s="3">
        <f t="shared" si="14"/>
        <v>7.0404797601199407</v>
      </c>
      <c r="H76" s="3">
        <f t="shared" ref="H76:H86" si="16">G76*E76</f>
        <v>143.85229342128923</v>
      </c>
    </row>
    <row r="77" spans="1:8" x14ac:dyDescent="0.2">
      <c r="A77" s="3">
        <v>1977</v>
      </c>
      <c r="B77" s="3">
        <v>171.14511300000001</v>
      </c>
      <c r="C77" s="3">
        <v>141.52255700000001</v>
      </c>
      <c r="D77" s="3">
        <f t="shared" si="13"/>
        <v>312.66767000000004</v>
      </c>
      <c r="E77" s="3">
        <f t="shared" si="11"/>
        <v>23.21979900000008</v>
      </c>
      <c r="F77" s="3">
        <f t="shared" si="15"/>
        <v>164</v>
      </c>
      <c r="G77" s="3">
        <f t="shared" si="14"/>
        <v>6.2248144220572641</v>
      </c>
      <c r="H77" s="3">
        <f t="shared" si="16"/>
        <v>144.53893969247133</v>
      </c>
    </row>
    <row r="78" spans="1:8" x14ac:dyDescent="0.2">
      <c r="A78" s="3">
        <v>1978</v>
      </c>
      <c r="B78" s="25">
        <f>(B$81-B$77)/4+B77</f>
        <v>185.96316825000002</v>
      </c>
      <c r="C78" s="25">
        <f>(C$81-C$77)/4+C77</f>
        <v>148.04371474999999</v>
      </c>
      <c r="D78" s="3">
        <f t="shared" si="13"/>
        <v>334.00688300000002</v>
      </c>
      <c r="E78" s="3">
        <f t="shared" si="11"/>
        <v>21.339212999999972</v>
      </c>
      <c r="F78" s="3">
        <f t="shared" si="15"/>
        <v>188</v>
      </c>
      <c r="G78" s="3">
        <f t="shared" si="14"/>
        <v>5.4301572617946352</v>
      </c>
      <c r="H78" s="3">
        <f t="shared" si="16"/>
        <v>115.87528243293234</v>
      </c>
    </row>
    <row r="79" spans="1:8" x14ac:dyDescent="0.2">
      <c r="A79" s="3">
        <v>1979</v>
      </c>
      <c r="B79" s="25">
        <f t="shared" ref="B79:C80" si="17">(B$81-B$77)/4+B78</f>
        <v>200.78122350000001</v>
      </c>
      <c r="C79" s="25">
        <f t="shared" si="17"/>
        <v>154.56487249999998</v>
      </c>
      <c r="D79" s="3">
        <f t="shared" si="13"/>
        <v>355.34609599999999</v>
      </c>
      <c r="E79" s="3">
        <f t="shared" si="11"/>
        <v>21.339212999999972</v>
      </c>
      <c r="F79" s="3">
        <f t="shared" si="15"/>
        <v>208</v>
      </c>
      <c r="G79" s="3">
        <f t="shared" si="14"/>
        <v>4.908026755852843</v>
      </c>
      <c r="H79" s="3">
        <f t="shared" si="16"/>
        <v>104.73342835284268</v>
      </c>
    </row>
    <row r="80" spans="1:8" x14ac:dyDescent="0.2">
      <c r="A80" s="3">
        <v>1980</v>
      </c>
      <c r="B80" s="25">
        <f t="shared" si="17"/>
        <v>215.59927875</v>
      </c>
      <c r="C80" s="25">
        <f t="shared" si="17"/>
        <v>161.08603024999996</v>
      </c>
      <c r="D80" s="3">
        <f t="shared" si="13"/>
        <v>376.68530899999996</v>
      </c>
      <c r="E80" s="3">
        <f t="shared" si="11"/>
        <v>21.339212999999972</v>
      </c>
      <c r="F80" s="3">
        <f t="shared" si="15"/>
        <v>246</v>
      </c>
      <c r="G80" s="3">
        <f t="shared" si="14"/>
        <v>4.14987628137151</v>
      </c>
      <c r="H80" s="3">
        <f t="shared" si="16"/>
        <v>88.555093891834474</v>
      </c>
    </row>
    <row r="81" spans="1:8" x14ac:dyDescent="0.2">
      <c r="A81" s="3">
        <v>1981</v>
      </c>
      <c r="B81" s="3">
        <v>230.41733400000001</v>
      </c>
      <c r="C81" s="3">
        <v>167.60718800000001</v>
      </c>
      <c r="D81" s="3">
        <f t="shared" si="13"/>
        <v>398.02452200000005</v>
      </c>
      <c r="E81" s="3">
        <f t="shared" si="11"/>
        <v>21.339213000000086</v>
      </c>
      <c r="F81" s="3">
        <f t="shared" si="15"/>
        <v>284</v>
      </c>
      <c r="G81" s="3">
        <f t="shared" si="14"/>
        <v>3.5946111451316596</v>
      </c>
      <c r="H81" s="3">
        <f t="shared" si="16"/>
        <v>76.706172878138702</v>
      </c>
    </row>
    <row r="82" spans="1:8" x14ac:dyDescent="0.2">
      <c r="A82" s="3">
        <v>1982</v>
      </c>
      <c r="B82" s="3">
        <v>230.62461200000001</v>
      </c>
      <c r="C82" s="3">
        <v>173.16348199999999</v>
      </c>
      <c r="D82" s="3">
        <f t="shared" si="13"/>
        <v>403.788094</v>
      </c>
      <c r="E82" s="3">
        <f t="shared" si="11"/>
        <v>5.7635719999999537</v>
      </c>
      <c r="F82" s="3">
        <f t="shared" si="15"/>
        <v>328</v>
      </c>
      <c r="G82" s="3">
        <f t="shared" si="14"/>
        <v>3.112407211028632</v>
      </c>
      <c r="H82" s="3">
        <f t="shared" si="16"/>
        <v>17.938583054082571</v>
      </c>
    </row>
    <row r="83" spans="1:8" x14ac:dyDescent="0.2">
      <c r="A83" s="3">
        <v>1983</v>
      </c>
      <c r="B83" s="3">
        <v>235.62757500000001</v>
      </c>
      <c r="C83" s="3">
        <v>178.39459199999999</v>
      </c>
      <c r="D83" s="3">
        <f t="shared" si="13"/>
        <v>414.02216699999997</v>
      </c>
      <c r="E83" s="3">
        <f t="shared" si="11"/>
        <v>10.234072999999967</v>
      </c>
      <c r="F83" s="3">
        <f t="shared" si="15"/>
        <v>370</v>
      </c>
      <c r="G83" s="3">
        <f t="shared" si="14"/>
        <v>2.7591069330199769</v>
      </c>
      <c r="H83" s="3">
        <f t="shared" si="16"/>
        <v>28.236901767332462</v>
      </c>
    </row>
    <row r="84" spans="1:8" x14ac:dyDescent="0.2">
      <c r="A84" s="3">
        <v>1984</v>
      </c>
      <c r="B84" s="3">
        <v>277.56999200000001</v>
      </c>
      <c r="C84" s="3">
        <v>192.61265</v>
      </c>
      <c r="D84" s="3">
        <f t="shared" si="13"/>
        <v>470.18264199999999</v>
      </c>
      <c r="E84" s="3">
        <f t="shared" si="11"/>
        <v>56.160475000000019</v>
      </c>
      <c r="F84" s="3">
        <f t="shared" si="15"/>
        <v>383</v>
      </c>
      <c r="G84" s="3">
        <f t="shared" si="14"/>
        <v>2.6654557838574187</v>
      </c>
      <c r="H84" s="3">
        <f t="shared" si="16"/>
        <v>149.69326291293001</v>
      </c>
    </row>
    <row r="85" spans="1:8" x14ac:dyDescent="0.2">
      <c r="A85" s="3">
        <v>1985</v>
      </c>
      <c r="B85" s="3">
        <v>327.96450599999997</v>
      </c>
      <c r="C85" s="3">
        <v>235.67930000000001</v>
      </c>
      <c r="D85" s="3">
        <f t="shared" si="13"/>
        <v>563.64380600000004</v>
      </c>
      <c r="E85" s="3">
        <f t="shared" si="11"/>
        <v>93.461164000000053</v>
      </c>
      <c r="F85" s="3">
        <f t="shared" si="15"/>
        <v>434</v>
      </c>
      <c r="G85" s="3">
        <f t="shared" si="14"/>
        <v>2.3522340212382291</v>
      </c>
      <c r="H85" s="3">
        <f t="shared" si="16"/>
        <v>219.84252962532574</v>
      </c>
    </row>
    <row r="86" spans="1:8" x14ac:dyDescent="0.2">
      <c r="A86" s="3">
        <v>1986</v>
      </c>
      <c r="B86" s="3">
        <v>339.77830299999999</v>
      </c>
      <c r="C86" s="3">
        <v>249.50234900000001</v>
      </c>
      <c r="D86" s="3">
        <f t="shared" si="13"/>
        <v>589.28065200000003</v>
      </c>
      <c r="E86" s="3">
        <f t="shared" si="11"/>
        <v>25.636845999999991</v>
      </c>
      <c r="F86" s="3">
        <f t="shared" si="15"/>
        <v>490</v>
      </c>
      <c r="G86" s="3">
        <f t="shared" si="14"/>
        <v>2.08340727595386</v>
      </c>
      <c r="H86" s="3">
        <f t="shared" si="16"/>
        <v>53.41199148890859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workbookViewId="0"/>
  </sheetViews>
  <sheetFormatPr defaultRowHeight="12.75" x14ac:dyDescent="0.2"/>
  <cols>
    <col min="1" max="1" width="9.85546875" style="2" customWidth="1"/>
    <col min="2" max="16384" width="9.140625" style="2"/>
  </cols>
  <sheetData>
    <row r="1" spans="1:2" x14ac:dyDescent="0.2">
      <c r="A1" s="2" t="s">
        <v>317</v>
      </c>
    </row>
    <row r="2" spans="1:2" x14ac:dyDescent="0.2">
      <c r="A2" s="2">
        <v>1905</v>
      </c>
      <c r="B2" s="24">
        <f t="shared" ref="B2:B6" si="0">B3</f>
        <v>27</v>
      </c>
    </row>
    <row r="3" spans="1:2" x14ac:dyDescent="0.2">
      <c r="A3" s="18">
        <v>1906</v>
      </c>
      <c r="B3" s="24">
        <f t="shared" si="0"/>
        <v>27</v>
      </c>
    </row>
    <row r="4" spans="1:2" x14ac:dyDescent="0.2">
      <c r="A4" s="18">
        <v>1907</v>
      </c>
      <c r="B4" s="24">
        <f t="shared" si="0"/>
        <v>27</v>
      </c>
    </row>
    <row r="5" spans="1:2" x14ac:dyDescent="0.2">
      <c r="A5" s="18">
        <v>1908</v>
      </c>
      <c r="B5" s="24">
        <f t="shared" si="0"/>
        <v>27</v>
      </c>
    </row>
    <row r="6" spans="1:2" x14ac:dyDescent="0.2">
      <c r="A6" s="18">
        <v>1909</v>
      </c>
      <c r="B6" s="24">
        <f t="shared" si="0"/>
        <v>27</v>
      </c>
    </row>
    <row r="7" spans="1:2" x14ac:dyDescent="0.2">
      <c r="A7" s="18">
        <v>1910</v>
      </c>
      <c r="B7" s="24">
        <f t="shared" ref="B7:B15" si="1">B8</f>
        <v>27</v>
      </c>
    </row>
    <row r="8" spans="1:2" x14ac:dyDescent="0.2">
      <c r="A8" s="18">
        <v>1911</v>
      </c>
      <c r="B8" s="24">
        <f t="shared" si="1"/>
        <v>27</v>
      </c>
    </row>
    <row r="9" spans="1:2" x14ac:dyDescent="0.2">
      <c r="A9" s="18">
        <v>1912</v>
      </c>
      <c r="B9" s="24">
        <f t="shared" si="1"/>
        <v>27</v>
      </c>
    </row>
    <row r="10" spans="1:2" x14ac:dyDescent="0.2">
      <c r="A10" s="18">
        <v>1913</v>
      </c>
      <c r="B10" s="24">
        <f t="shared" si="1"/>
        <v>27</v>
      </c>
    </row>
    <row r="11" spans="1:2" x14ac:dyDescent="0.2">
      <c r="A11" s="18">
        <v>1914</v>
      </c>
      <c r="B11" s="24">
        <f t="shared" si="1"/>
        <v>27</v>
      </c>
    </row>
    <row r="12" spans="1:2" x14ac:dyDescent="0.2">
      <c r="A12" s="18">
        <v>1915</v>
      </c>
      <c r="B12" s="24">
        <f t="shared" si="1"/>
        <v>27</v>
      </c>
    </row>
    <row r="13" spans="1:2" x14ac:dyDescent="0.2">
      <c r="A13" s="18">
        <v>1916</v>
      </c>
      <c r="B13" s="24">
        <f t="shared" si="1"/>
        <v>27</v>
      </c>
    </row>
    <row r="14" spans="1:2" x14ac:dyDescent="0.2">
      <c r="A14" s="18">
        <v>1917</v>
      </c>
      <c r="B14" s="24">
        <f t="shared" si="1"/>
        <v>27</v>
      </c>
    </row>
    <row r="15" spans="1:2" x14ac:dyDescent="0.2">
      <c r="A15" s="18">
        <v>1918</v>
      </c>
      <c r="B15" s="24">
        <f t="shared" si="1"/>
        <v>27</v>
      </c>
    </row>
    <row r="16" spans="1:2" x14ac:dyDescent="0.2">
      <c r="A16" s="18">
        <v>1919</v>
      </c>
      <c r="B16" s="24">
        <f>B17</f>
        <v>27</v>
      </c>
    </row>
    <row r="17" spans="1:2" x14ac:dyDescent="0.2">
      <c r="A17" s="18">
        <v>1920</v>
      </c>
      <c r="B17" s="4">
        <v>27</v>
      </c>
    </row>
    <row r="18" spans="1:2" x14ac:dyDescent="0.2">
      <c r="A18" s="18">
        <v>1921</v>
      </c>
      <c r="B18" s="4">
        <v>29</v>
      </c>
    </row>
    <row r="19" spans="1:2" x14ac:dyDescent="0.2">
      <c r="A19" s="18">
        <v>1922</v>
      </c>
      <c r="B19" s="4">
        <v>26</v>
      </c>
    </row>
    <row r="20" spans="1:2" x14ac:dyDescent="0.2">
      <c r="A20" s="18">
        <v>1923</v>
      </c>
      <c r="B20" s="4">
        <v>25</v>
      </c>
    </row>
    <row r="21" spans="1:2" x14ac:dyDescent="0.2">
      <c r="A21" s="18">
        <v>1924</v>
      </c>
      <c r="B21" s="4">
        <v>26</v>
      </c>
    </row>
    <row r="22" spans="1:2" x14ac:dyDescent="0.2">
      <c r="A22" s="18">
        <v>1925</v>
      </c>
      <c r="B22" s="4">
        <v>25</v>
      </c>
    </row>
    <row r="23" spans="1:2" x14ac:dyDescent="0.2">
      <c r="A23" s="18">
        <v>1926</v>
      </c>
      <c r="B23" s="4">
        <v>26</v>
      </c>
    </row>
    <row r="24" spans="1:2" x14ac:dyDescent="0.2">
      <c r="A24" s="18">
        <v>1927</v>
      </c>
      <c r="B24" s="4">
        <v>26</v>
      </c>
    </row>
    <row r="25" spans="1:2" x14ac:dyDescent="0.2">
      <c r="A25" s="18">
        <v>1928</v>
      </c>
      <c r="B25" s="4">
        <v>25</v>
      </c>
    </row>
    <row r="26" spans="1:2" x14ac:dyDescent="0.2">
      <c r="A26" s="18">
        <v>1929</v>
      </c>
      <c r="B26" s="4">
        <v>25</v>
      </c>
    </row>
    <row r="27" spans="1:2" x14ac:dyDescent="0.2">
      <c r="A27" s="18">
        <v>1930</v>
      </c>
      <c r="B27" s="4">
        <v>25</v>
      </c>
    </row>
    <row r="28" spans="1:2" x14ac:dyDescent="0.2">
      <c r="A28" s="18">
        <v>1931</v>
      </c>
      <c r="B28" s="4">
        <v>24</v>
      </c>
    </row>
    <row r="29" spans="1:2" x14ac:dyDescent="0.2">
      <c r="A29" s="18">
        <v>1932</v>
      </c>
      <c r="B29" s="4">
        <v>22</v>
      </c>
    </row>
    <row r="30" spans="1:2" x14ac:dyDescent="0.2">
      <c r="A30" s="18">
        <v>1933</v>
      </c>
      <c r="B30" s="4">
        <v>20</v>
      </c>
    </row>
    <row r="31" spans="1:2" x14ac:dyDescent="0.2">
      <c r="A31" s="18">
        <v>1934</v>
      </c>
      <c r="B31" s="4">
        <v>20</v>
      </c>
    </row>
    <row r="32" spans="1:2" x14ac:dyDescent="0.2">
      <c r="A32" s="18">
        <v>1935</v>
      </c>
      <c r="B32" s="4">
        <v>21</v>
      </c>
    </row>
    <row r="33" spans="1:2" x14ac:dyDescent="0.2">
      <c r="A33" s="18">
        <v>1936</v>
      </c>
      <c r="B33" s="4">
        <v>21</v>
      </c>
    </row>
    <row r="34" spans="1:2" x14ac:dyDescent="0.2">
      <c r="A34" s="18">
        <v>1937</v>
      </c>
      <c r="B34" s="4">
        <v>23</v>
      </c>
    </row>
    <row r="35" spans="1:2" x14ac:dyDescent="0.2">
      <c r="A35" s="18">
        <v>1938</v>
      </c>
      <c r="B35" s="4">
        <v>24</v>
      </c>
    </row>
    <row r="36" spans="1:2" x14ac:dyDescent="0.2">
      <c r="A36" s="18">
        <v>1939</v>
      </c>
      <c r="B36" s="4">
        <v>25</v>
      </c>
    </row>
    <row r="37" spans="1:2" x14ac:dyDescent="0.2">
      <c r="A37" s="18">
        <v>1940</v>
      </c>
      <c r="B37" s="4">
        <v>26</v>
      </c>
    </row>
    <row r="38" spans="1:2" x14ac:dyDescent="0.2">
      <c r="A38" s="18">
        <v>1941</v>
      </c>
      <c r="B38" s="4">
        <v>27</v>
      </c>
    </row>
    <row r="39" spans="1:2" x14ac:dyDescent="0.2">
      <c r="A39" s="18">
        <v>1942</v>
      </c>
      <c r="B39" s="4">
        <v>27</v>
      </c>
    </row>
    <row r="40" spans="1:2" x14ac:dyDescent="0.2">
      <c r="A40" s="18">
        <v>1943</v>
      </c>
      <c r="B40" s="4">
        <v>29</v>
      </c>
    </row>
    <row r="41" spans="1:2" x14ac:dyDescent="0.2">
      <c r="A41" s="18">
        <v>1944</v>
      </c>
      <c r="B41" s="4">
        <v>29</v>
      </c>
    </row>
    <row r="42" spans="1:2" x14ac:dyDescent="0.2">
      <c r="A42" s="18">
        <v>1945</v>
      </c>
      <c r="B42" s="4">
        <v>30</v>
      </c>
    </row>
    <row r="43" spans="1:2" x14ac:dyDescent="0.2">
      <c r="A43" s="18">
        <v>1946</v>
      </c>
      <c r="B43" s="4">
        <v>30</v>
      </c>
    </row>
    <row r="44" spans="1:2" x14ac:dyDescent="0.2">
      <c r="A44" s="18">
        <v>1947</v>
      </c>
      <c r="B44" s="4">
        <v>30</v>
      </c>
    </row>
    <row r="45" spans="1:2" x14ac:dyDescent="0.2">
      <c r="A45" s="18">
        <v>1948</v>
      </c>
      <c r="B45" s="4">
        <v>33</v>
      </c>
    </row>
    <row r="46" spans="1:2" x14ac:dyDescent="0.2">
      <c r="A46" s="18">
        <v>1949</v>
      </c>
      <c r="B46" s="4">
        <v>34</v>
      </c>
    </row>
    <row r="47" spans="1:2" x14ac:dyDescent="0.2">
      <c r="A47" s="18">
        <v>1950</v>
      </c>
      <c r="B47" s="4">
        <v>34</v>
      </c>
    </row>
    <row r="48" spans="1:2" x14ac:dyDescent="0.2">
      <c r="A48" s="18">
        <v>1951</v>
      </c>
      <c r="B48" s="4">
        <v>38</v>
      </c>
    </row>
    <row r="49" spans="1:2" x14ac:dyDescent="0.2">
      <c r="A49" s="18">
        <v>1952</v>
      </c>
      <c r="B49" s="4">
        <v>42</v>
      </c>
    </row>
    <row r="50" spans="1:2" x14ac:dyDescent="0.2">
      <c r="A50" s="18">
        <v>1953</v>
      </c>
      <c r="B50" s="4">
        <v>44</v>
      </c>
    </row>
    <row r="51" spans="1:2" x14ac:dyDescent="0.2">
      <c r="A51" s="18">
        <v>1954</v>
      </c>
      <c r="B51" s="4">
        <v>46</v>
      </c>
    </row>
    <row r="52" spans="1:2" x14ac:dyDescent="0.2">
      <c r="A52" s="18">
        <v>1955</v>
      </c>
      <c r="B52" s="4">
        <v>48</v>
      </c>
    </row>
    <row r="53" spans="1:2" x14ac:dyDescent="0.2">
      <c r="A53" s="18">
        <v>1956</v>
      </c>
      <c r="B53" s="4">
        <v>49</v>
      </c>
    </row>
    <row r="54" spans="1:2" x14ac:dyDescent="0.2">
      <c r="A54" s="18">
        <v>1957</v>
      </c>
      <c r="B54" s="4">
        <v>50</v>
      </c>
    </row>
    <row r="55" spans="1:2" x14ac:dyDescent="0.2">
      <c r="A55" s="18">
        <v>1958</v>
      </c>
      <c r="B55" s="4">
        <v>51</v>
      </c>
    </row>
    <row r="56" spans="1:2" x14ac:dyDescent="0.2">
      <c r="A56" s="18">
        <v>1959</v>
      </c>
      <c r="B56" s="4">
        <v>55</v>
      </c>
    </row>
    <row r="57" spans="1:2" x14ac:dyDescent="0.2">
      <c r="A57" s="18">
        <v>1960</v>
      </c>
      <c r="B57" s="4">
        <v>55</v>
      </c>
    </row>
    <row r="58" spans="1:2" x14ac:dyDescent="0.2">
      <c r="A58" s="18">
        <v>1961</v>
      </c>
      <c r="B58" s="4">
        <v>56</v>
      </c>
    </row>
    <row r="59" spans="1:2" x14ac:dyDescent="0.2">
      <c r="A59" s="18">
        <v>1962</v>
      </c>
      <c r="B59" s="4">
        <v>58</v>
      </c>
    </row>
    <row r="60" spans="1:2" x14ac:dyDescent="0.2">
      <c r="A60" s="18">
        <v>1963</v>
      </c>
      <c r="B60" s="4">
        <v>59</v>
      </c>
    </row>
    <row r="61" spans="1:2" x14ac:dyDescent="0.2">
      <c r="A61" s="18">
        <v>1964</v>
      </c>
      <c r="B61" s="4">
        <v>60</v>
      </c>
    </row>
    <row r="62" spans="1:2" x14ac:dyDescent="0.2">
      <c r="A62" s="18">
        <v>1965</v>
      </c>
      <c r="B62" s="4">
        <v>63</v>
      </c>
    </row>
    <row r="63" spans="1:2" x14ac:dyDescent="0.2">
      <c r="A63" s="18">
        <v>1966</v>
      </c>
      <c r="B63" s="4">
        <v>64</v>
      </c>
    </row>
    <row r="64" spans="1:2" x14ac:dyDescent="0.2">
      <c r="A64" s="18">
        <v>1967</v>
      </c>
      <c r="B64" s="4">
        <v>67</v>
      </c>
    </row>
    <row r="65" spans="1:2" x14ac:dyDescent="0.2">
      <c r="A65" s="18">
        <v>1968</v>
      </c>
      <c r="B65" s="4">
        <v>71</v>
      </c>
    </row>
    <row r="66" spans="1:2" x14ac:dyDescent="0.2">
      <c r="A66" s="18">
        <v>1969</v>
      </c>
      <c r="B66" s="4">
        <v>74</v>
      </c>
    </row>
    <row r="67" spans="1:2" x14ac:dyDescent="0.2">
      <c r="A67" s="18">
        <v>1970</v>
      </c>
      <c r="B67" s="4">
        <v>78</v>
      </c>
    </row>
    <row r="68" spans="1:2" x14ac:dyDescent="0.2">
      <c r="A68" s="18">
        <v>1971</v>
      </c>
      <c r="B68" s="4">
        <v>86</v>
      </c>
    </row>
    <row r="69" spans="1:2" x14ac:dyDescent="0.2">
      <c r="A69" s="18">
        <v>1972</v>
      </c>
      <c r="B69" s="4">
        <v>93</v>
      </c>
    </row>
    <row r="70" spans="1:2" x14ac:dyDescent="0.2">
      <c r="A70" s="18">
        <v>1973</v>
      </c>
      <c r="B70" s="4">
        <v>99</v>
      </c>
    </row>
    <row r="71" spans="1:2" x14ac:dyDescent="0.2">
      <c r="A71" s="18">
        <v>1974</v>
      </c>
      <c r="B71" s="4">
        <v>109</v>
      </c>
    </row>
    <row r="72" spans="1:2" x14ac:dyDescent="0.2">
      <c r="A72" s="18">
        <v>1975</v>
      </c>
      <c r="B72" s="4">
        <v>123</v>
      </c>
    </row>
    <row r="73" spans="1:2" x14ac:dyDescent="0.2">
      <c r="A73" s="18">
        <v>1976</v>
      </c>
      <c r="B73" s="4">
        <v>145</v>
      </c>
    </row>
    <row r="74" spans="1:2" x14ac:dyDescent="0.2">
      <c r="A74" s="18">
        <v>1977</v>
      </c>
      <c r="B74" s="4">
        <v>164</v>
      </c>
    </row>
    <row r="75" spans="1:2" x14ac:dyDescent="0.2">
      <c r="A75" s="18">
        <v>1978</v>
      </c>
      <c r="B75" s="4">
        <v>188</v>
      </c>
    </row>
    <row r="76" spans="1:2" x14ac:dyDescent="0.2">
      <c r="A76" s="18">
        <v>1979</v>
      </c>
      <c r="B76" s="4">
        <v>208</v>
      </c>
    </row>
    <row r="77" spans="1:2" x14ac:dyDescent="0.2">
      <c r="A77" s="18">
        <v>1980</v>
      </c>
      <c r="B77" s="4">
        <v>246</v>
      </c>
    </row>
    <row r="78" spans="1:2" x14ac:dyDescent="0.2">
      <c r="A78" s="18">
        <v>1981</v>
      </c>
      <c r="B78" s="4">
        <v>284</v>
      </c>
    </row>
    <row r="79" spans="1:2" x14ac:dyDescent="0.2">
      <c r="A79" s="18">
        <v>1982</v>
      </c>
      <c r="B79" s="4">
        <v>328</v>
      </c>
    </row>
    <row r="80" spans="1:2" x14ac:dyDescent="0.2">
      <c r="A80" s="18">
        <v>1983</v>
      </c>
      <c r="B80" s="4">
        <v>370</v>
      </c>
    </row>
    <row r="81" spans="1:2" x14ac:dyDescent="0.2">
      <c r="A81" s="18">
        <v>1984</v>
      </c>
      <c r="B81" s="4">
        <v>383</v>
      </c>
    </row>
    <row r="82" spans="1:2" x14ac:dyDescent="0.2">
      <c r="A82" s="18">
        <v>1985</v>
      </c>
      <c r="B82" s="4">
        <v>434</v>
      </c>
    </row>
    <row r="83" spans="1:2" x14ac:dyDescent="0.2">
      <c r="A83" s="18">
        <v>1986</v>
      </c>
      <c r="B83" s="4">
        <v>490</v>
      </c>
    </row>
    <row r="84" spans="1:2" x14ac:dyDescent="0.2">
      <c r="A84" s="18">
        <v>1987</v>
      </c>
      <c r="B84" s="4">
        <v>552.38095238095241</v>
      </c>
    </row>
    <row r="85" spans="1:2" x14ac:dyDescent="0.2">
      <c r="A85" s="18">
        <v>1988</v>
      </c>
      <c r="B85" s="4">
        <v>574.5454545454545</v>
      </c>
    </row>
    <row r="86" spans="1:2" x14ac:dyDescent="0.2">
      <c r="A86" s="18">
        <v>1989</v>
      </c>
      <c r="B86" s="4">
        <v>598.18181818181813</v>
      </c>
    </row>
    <row r="87" spans="1:2" x14ac:dyDescent="0.2">
      <c r="A87" s="18">
        <v>1990</v>
      </c>
      <c r="B87" s="4">
        <v>625.77777777777783</v>
      </c>
    </row>
    <row r="88" spans="1:2" x14ac:dyDescent="0.2">
      <c r="A88" s="18">
        <v>1991</v>
      </c>
      <c r="B88" s="4">
        <v>654.22222222222217</v>
      </c>
    </row>
    <row r="89" spans="1:2" x14ac:dyDescent="0.2">
      <c r="A89" s="18">
        <v>1992</v>
      </c>
      <c r="B89" s="4">
        <v>658.66666666666663</v>
      </c>
    </row>
    <row r="90" spans="1:2" x14ac:dyDescent="0.2">
      <c r="A90" s="18">
        <v>1993</v>
      </c>
      <c r="B90" s="4">
        <v>665.77777777777783</v>
      </c>
    </row>
    <row r="91" spans="1:2" x14ac:dyDescent="0.2">
      <c r="A91" s="18">
        <v>1994</v>
      </c>
      <c r="B91" s="4">
        <v>673.77777777777783</v>
      </c>
    </row>
    <row r="92" spans="1:2" x14ac:dyDescent="0.2">
      <c r="A92" s="18">
        <v>1995</v>
      </c>
      <c r="B92" s="4">
        <v>701.33333333333337</v>
      </c>
    </row>
    <row r="93" spans="1:2" x14ac:dyDescent="0.2">
      <c r="A93" s="18">
        <v>1996</v>
      </c>
      <c r="B93" s="4">
        <v>716.44444444444446</v>
      </c>
    </row>
    <row r="94" spans="1:2" x14ac:dyDescent="0.2">
      <c r="A94" s="18">
        <v>1997</v>
      </c>
      <c r="B94" s="4">
        <v>729.77777777777783</v>
      </c>
    </row>
    <row r="95" spans="1:2" x14ac:dyDescent="0.2">
      <c r="A95" s="18">
        <v>1998</v>
      </c>
      <c r="B95" s="4">
        <v>738.66666666666663</v>
      </c>
    </row>
    <row r="96" spans="1:2" x14ac:dyDescent="0.2">
      <c r="A96" s="18">
        <v>1999</v>
      </c>
      <c r="B96" s="4">
        <v>737.77777777777783</v>
      </c>
    </row>
    <row r="97" spans="1:2" x14ac:dyDescent="0.2">
      <c r="A97" s="18">
        <v>2000</v>
      </c>
      <c r="B97" s="4">
        <v>749.33333333333337</v>
      </c>
    </row>
    <row r="98" spans="1:2" x14ac:dyDescent="0.2">
      <c r="A98" s="18">
        <v>2001</v>
      </c>
      <c r="B98" s="4">
        <v>772.44444444444446</v>
      </c>
    </row>
    <row r="99" spans="1:2" x14ac:dyDescent="0.2">
      <c r="A99" s="18">
        <v>2002</v>
      </c>
      <c r="B99" s="4">
        <v>792</v>
      </c>
    </row>
    <row r="100" spans="1:2" x14ac:dyDescent="0.2">
      <c r="A100" s="18">
        <v>2003</v>
      </c>
      <c r="B100" s="4">
        <v>811.55555555555554</v>
      </c>
    </row>
    <row r="101" spans="1:2" x14ac:dyDescent="0.2">
      <c r="A101" s="18">
        <v>2004</v>
      </c>
      <c r="B101" s="4">
        <v>824.88888888888891</v>
      </c>
    </row>
    <row r="102" spans="1:2" x14ac:dyDescent="0.2">
      <c r="A102" s="18">
        <v>2005</v>
      </c>
      <c r="B102" s="4">
        <v>847.11111111111109</v>
      </c>
    </row>
    <row r="103" spans="1:2" x14ac:dyDescent="0.2">
      <c r="A103" s="18">
        <v>2006</v>
      </c>
      <c r="B103" s="4">
        <v>875.55555555555554</v>
      </c>
    </row>
    <row r="104" spans="1:2" x14ac:dyDescent="0.2">
      <c r="A104" s="18">
        <v>2007</v>
      </c>
      <c r="B104" s="4">
        <v>897.77777777777783</v>
      </c>
    </row>
    <row r="105" spans="1:2" x14ac:dyDescent="0.2">
      <c r="A105" s="18">
        <v>2008</v>
      </c>
      <c r="B105" s="4">
        <v>928</v>
      </c>
    </row>
    <row r="106" spans="1:2" x14ac:dyDescent="0.2">
      <c r="A106" s="18">
        <v>2009</v>
      </c>
      <c r="B106" s="4">
        <v>955.55555555555554</v>
      </c>
    </row>
    <row r="107" spans="1:2" x14ac:dyDescent="0.2">
      <c r="A107" s="18">
        <v>2010</v>
      </c>
      <c r="B107" s="4">
        <v>975.11111111111109</v>
      </c>
    </row>
    <row r="108" spans="1:2" x14ac:dyDescent="0.2">
      <c r="A108" s="18">
        <v>2011</v>
      </c>
      <c r="B108" s="4">
        <v>1007.4725274725275</v>
      </c>
    </row>
    <row r="109" spans="1:2" x14ac:dyDescent="0.2">
      <c r="A109" s="18">
        <v>2012</v>
      </c>
      <c r="B109" s="4">
        <v>1012.1739130434784</v>
      </c>
    </row>
    <row r="110" spans="1:2" x14ac:dyDescent="0.2">
      <c r="A110" s="18">
        <v>2013</v>
      </c>
      <c r="B110" s="4">
        <v>1020.8695652173914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2.75" x14ac:dyDescent="0.2"/>
  <cols>
    <col min="1" max="1" width="18.85546875" style="3" customWidth="1"/>
    <col min="2" max="2" width="13.42578125" style="4" customWidth="1"/>
    <col min="3" max="3" width="2.5703125" style="3" customWidth="1"/>
    <col min="4" max="4" width="13.42578125" style="3" customWidth="1"/>
    <col min="5" max="5" width="2.5703125" style="3" customWidth="1"/>
    <col min="6" max="6" width="13.42578125" style="3" customWidth="1"/>
    <col min="7" max="7" width="2.5703125" style="3" customWidth="1"/>
    <col min="8" max="8" width="0" style="3" hidden="1" customWidth="1"/>
    <col min="9" max="11" width="9.140625" style="3"/>
    <col min="12" max="12" width="10.140625" style="3" bestFit="1" customWidth="1"/>
    <col min="13" max="13" width="9.140625" style="3"/>
    <col min="14" max="14" width="10.140625" style="3" bestFit="1" customWidth="1"/>
    <col min="15" max="256" width="9.140625" style="3"/>
    <col min="257" max="257" width="18.85546875" style="3" customWidth="1"/>
    <col min="258" max="258" width="13.42578125" style="3" customWidth="1"/>
    <col min="259" max="259" width="2.5703125" style="3" customWidth="1"/>
    <col min="260" max="260" width="13.42578125" style="3" customWidth="1"/>
    <col min="261" max="261" width="2.5703125" style="3" customWidth="1"/>
    <col min="262" max="262" width="13.42578125" style="3" customWidth="1"/>
    <col min="263" max="263" width="2.5703125" style="3" customWidth="1"/>
    <col min="264" max="264" width="0" style="3" hidden="1" customWidth="1"/>
    <col min="265" max="512" width="9.140625" style="3"/>
    <col min="513" max="513" width="18.85546875" style="3" customWidth="1"/>
    <col min="514" max="514" width="13.42578125" style="3" customWidth="1"/>
    <col min="515" max="515" width="2.5703125" style="3" customWidth="1"/>
    <col min="516" max="516" width="13.42578125" style="3" customWidth="1"/>
    <col min="517" max="517" width="2.5703125" style="3" customWidth="1"/>
    <col min="518" max="518" width="13.42578125" style="3" customWidth="1"/>
    <col min="519" max="519" width="2.5703125" style="3" customWidth="1"/>
    <col min="520" max="520" width="0" style="3" hidden="1" customWidth="1"/>
    <col min="521" max="768" width="9.140625" style="3"/>
    <col min="769" max="769" width="18.85546875" style="3" customWidth="1"/>
    <col min="770" max="770" width="13.42578125" style="3" customWidth="1"/>
    <col min="771" max="771" width="2.5703125" style="3" customWidth="1"/>
    <col min="772" max="772" width="13.42578125" style="3" customWidth="1"/>
    <col min="773" max="773" width="2.5703125" style="3" customWidth="1"/>
    <col min="774" max="774" width="13.42578125" style="3" customWidth="1"/>
    <col min="775" max="775" width="2.5703125" style="3" customWidth="1"/>
    <col min="776" max="776" width="0" style="3" hidden="1" customWidth="1"/>
    <col min="777" max="1024" width="9.140625" style="3"/>
    <col min="1025" max="1025" width="18.85546875" style="3" customWidth="1"/>
    <col min="1026" max="1026" width="13.42578125" style="3" customWidth="1"/>
    <col min="1027" max="1027" width="2.5703125" style="3" customWidth="1"/>
    <col min="1028" max="1028" width="13.42578125" style="3" customWidth="1"/>
    <col min="1029" max="1029" width="2.5703125" style="3" customWidth="1"/>
    <col min="1030" max="1030" width="13.42578125" style="3" customWidth="1"/>
    <col min="1031" max="1031" width="2.5703125" style="3" customWidth="1"/>
    <col min="1032" max="1032" width="0" style="3" hidden="1" customWidth="1"/>
    <col min="1033" max="1280" width="9.140625" style="3"/>
    <col min="1281" max="1281" width="18.85546875" style="3" customWidth="1"/>
    <col min="1282" max="1282" width="13.42578125" style="3" customWidth="1"/>
    <col min="1283" max="1283" width="2.5703125" style="3" customWidth="1"/>
    <col min="1284" max="1284" width="13.42578125" style="3" customWidth="1"/>
    <col min="1285" max="1285" width="2.5703125" style="3" customWidth="1"/>
    <col min="1286" max="1286" width="13.42578125" style="3" customWidth="1"/>
    <col min="1287" max="1287" width="2.5703125" style="3" customWidth="1"/>
    <col min="1288" max="1288" width="0" style="3" hidden="1" customWidth="1"/>
    <col min="1289" max="1536" width="9.140625" style="3"/>
    <col min="1537" max="1537" width="18.85546875" style="3" customWidth="1"/>
    <col min="1538" max="1538" width="13.42578125" style="3" customWidth="1"/>
    <col min="1539" max="1539" width="2.5703125" style="3" customWidth="1"/>
    <col min="1540" max="1540" width="13.42578125" style="3" customWidth="1"/>
    <col min="1541" max="1541" width="2.5703125" style="3" customWidth="1"/>
    <col min="1542" max="1542" width="13.42578125" style="3" customWidth="1"/>
    <col min="1543" max="1543" width="2.5703125" style="3" customWidth="1"/>
    <col min="1544" max="1544" width="0" style="3" hidden="1" customWidth="1"/>
    <col min="1545" max="1792" width="9.140625" style="3"/>
    <col min="1793" max="1793" width="18.85546875" style="3" customWidth="1"/>
    <col min="1794" max="1794" width="13.42578125" style="3" customWidth="1"/>
    <col min="1795" max="1795" width="2.5703125" style="3" customWidth="1"/>
    <col min="1796" max="1796" width="13.42578125" style="3" customWidth="1"/>
    <col min="1797" max="1797" width="2.5703125" style="3" customWidth="1"/>
    <col min="1798" max="1798" width="13.42578125" style="3" customWidth="1"/>
    <col min="1799" max="1799" width="2.5703125" style="3" customWidth="1"/>
    <col min="1800" max="1800" width="0" style="3" hidden="1" customWidth="1"/>
    <col min="1801" max="2048" width="9.140625" style="3"/>
    <col min="2049" max="2049" width="18.85546875" style="3" customWidth="1"/>
    <col min="2050" max="2050" width="13.42578125" style="3" customWidth="1"/>
    <col min="2051" max="2051" width="2.5703125" style="3" customWidth="1"/>
    <col min="2052" max="2052" width="13.42578125" style="3" customWidth="1"/>
    <col min="2053" max="2053" width="2.5703125" style="3" customWidth="1"/>
    <col min="2054" max="2054" width="13.42578125" style="3" customWidth="1"/>
    <col min="2055" max="2055" width="2.5703125" style="3" customWidth="1"/>
    <col min="2056" max="2056" width="0" style="3" hidden="1" customWidth="1"/>
    <col min="2057" max="2304" width="9.140625" style="3"/>
    <col min="2305" max="2305" width="18.85546875" style="3" customWidth="1"/>
    <col min="2306" max="2306" width="13.42578125" style="3" customWidth="1"/>
    <col min="2307" max="2307" width="2.5703125" style="3" customWidth="1"/>
    <col min="2308" max="2308" width="13.42578125" style="3" customWidth="1"/>
    <col min="2309" max="2309" width="2.5703125" style="3" customWidth="1"/>
    <col min="2310" max="2310" width="13.42578125" style="3" customWidth="1"/>
    <col min="2311" max="2311" width="2.5703125" style="3" customWidth="1"/>
    <col min="2312" max="2312" width="0" style="3" hidden="1" customWidth="1"/>
    <col min="2313" max="2560" width="9.140625" style="3"/>
    <col min="2561" max="2561" width="18.85546875" style="3" customWidth="1"/>
    <col min="2562" max="2562" width="13.42578125" style="3" customWidth="1"/>
    <col min="2563" max="2563" width="2.5703125" style="3" customWidth="1"/>
    <col min="2564" max="2564" width="13.42578125" style="3" customWidth="1"/>
    <col min="2565" max="2565" width="2.5703125" style="3" customWidth="1"/>
    <col min="2566" max="2566" width="13.42578125" style="3" customWidth="1"/>
    <col min="2567" max="2567" width="2.5703125" style="3" customWidth="1"/>
    <col min="2568" max="2568" width="0" style="3" hidden="1" customWidth="1"/>
    <col min="2569" max="2816" width="9.140625" style="3"/>
    <col min="2817" max="2817" width="18.85546875" style="3" customWidth="1"/>
    <col min="2818" max="2818" width="13.42578125" style="3" customWidth="1"/>
    <col min="2819" max="2819" width="2.5703125" style="3" customWidth="1"/>
    <col min="2820" max="2820" width="13.42578125" style="3" customWidth="1"/>
    <col min="2821" max="2821" width="2.5703125" style="3" customWidth="1"/>
    <col min="2822" max="2822" width="13.42578125" style="3" customWidth="1"/>
    <col min="2823" max="2823" width="2.5703125" style="3" customWidth="1"/>
    <col min="2824" max="2824" width="0" style="3" hidden="1" customWidth="1"/>
    <col min="2825" max="3072" width="9.140625" style="3"/>
    <col min="3073" max="3073" width="18.85546875" style="3" customWidth="1"/>
    <col min="3074" max="3074" width="13.42578125" style="3" customWidth="1"/>
    <col min="3075" max="3075" width="2.5703125" style="3" customWidth="1"/>
    <col min="3076" max="3076" width="13.42578125" style="3" customWidth="1"/>
    <col min="3077" max="3077" width="2.5703125" style="3" customWidth="1"/>
    <col min="3078" max="3078" width="13.42578125" style="3" customWidth="1"/>
    <col min="3079" max="3079" width="2.5703125" style="3" customWidth="1"/>
    <col min="3080" max="3080" width="0" style="3" hidden="1" customWidth="1"/>
    <col min="3081" max="3328" width="9.140625" style="3"/>
    <col min="3329" max="3329" width="18.85546875" style="3" customWidth="1"/>
    <col min="3330" max="3330" width="13.42578125" style="3" customWidth="1"/>
    <col min="3331" max="3331" width="2.5703125" style="3" customWidth="1"/>
    <col min="3332" max="3332" width="13.42578125" style="3" customWidth="1"/>
    <col min="3333" max="3333" width="2.5703125" style="3" customWidth="1"/>
    <col min="3334" max="3334" width="13.42578125" style="3" customWidth="1"/>
    <col min="3335" max="3335" width="2.5703125" style="3" customWidth="1"/>
    <col min="3336" max="3336" width="0" style="3" hidden="1" customWidth="1"/>
    <col min="3337" max="3584" width="9.140625" style="3"/>
    <col min="3585" max="3585" width="18.85546875" style="3" customWidth="1"/>
    <col min="3586" max="3586" width="13.42578125" style="3" customWidth="1"/>
    <col min="3587" max="3587" width="2.5703125" style="3" customWidth="1"/>
    <col min="3588" max="3588" width="13.42578125" style="3" customWidth="1"/>
    <col min="3589" max="3589" width="2.5703125" style="3" customWidth="1"/>
    <col min="3590" max="3590" width="13.42578125" style="3" customWidth="1"/>
    <col min="3591" max="3591" width="2.5703125" style="3" customWidth="1"/>
    <col min="3592" max="3592" width="0" style="3" hidden="1" customWidth="1"/>
    <col min="3593" max="3840" width="9.140625" style="3"/>
    <col min="3841" max="3841" width="18.85546875" style="3" customWidth="1"/>
    <col min="3842" max="3842" width="13.42578125" style="3" customWidth="1"/>
    <col min="3843" max="3843" width="2.5703125" style="3" customWidth="1"/>
    <col min="3844" max="3844" width="13.42578125" style="3" customWidth="1"/>
    <col min="3845" max="3845" width="2.5703125" style="3" customWidth="1"/>
    <col min="3846" max="3846" width="13.42578125" style="3" customWidth="1"/>
    <col min="3847" max="3847" width="2.5703125" style="3" customWidth="1"/>
    <col min="3848" max="3848" width="0" style="3" hidden="1" customWidth="1"/>
    <col min="3849" max="4096" width="9.140625" style="3"/>
    <col min="4097" max="4097" width="18.85546875" style="3" customWidth="1"/>
    <col min="4098" max="4098" width="13.42578125" style="3" customWidth="1"/>
    <col min="4099" max="4099" width="2.5703125" style="3" customWidth="1"/>
    <col min="4100" max="4100" width="13.42578125" style="3" customWidth="1"/>
    <col min="4101" max="4101" width="2.5703125" style="3" customWidth="1"/>
    <col min="4102" max="4102" width="13.42578125" style="3" customWidth="1"/>
    <col min="4103" max="4103" width="2.5703125" style="3" customWidth="1"/>
    <col min="4104" max="4104" width="0" style="3" hidden="1" customWidth="1"/>
    <col min="4105" max="4352" width="9.140625" style="3"/>
    <col min="4353" max="4353" width="18.85546875" style="3" customWidth="1"/>
    <col min="4354" max="4354" width="13.42578125" style="3" customWidth="1"/>
    <col min="4355" max="4355" width="2.5703125" style="3" customWidth="1"/>
    <col min="4356" max="4356" width="13.42578125" style="3" customWidth="1"/>
    <col min="4357" max="4357" width="2.5703125" style="3" customWidth="1"/>
    <col min="4358" max="4358" width="13.42578125" style="3" customWidth="1"/>
    <col min="4359" max="4359" width="2.5703125" style="3" customWidth="1"/>
    <col min="4360" max="4360" width="0" style="3" hidden="1" customWidth="1"/>
    <col min="4361" max="4608" width="9.140625" style="3"/>
    <col min="4609" max="4609" width="18.85546875" style="3" customWidth="1"/>
    <col min="4610" max="4610" width="13.42578125" style="3" customWidth="1"/>
    <col min="4611" max="4611" width="2.5703125" style="3" customWidth="1"/>
    <col min="4612" max="4612" width="13.42578125" style="3" customWidth="1"/>
    <col min="4613" max="4613" width="2.5703125" style="3" customWidth="1"/>
    <col min="4614" max="4614" width="13.42578125" style="3" customWidth="1"/>
    <col min="4615" max="4615" width="2.5703125" style="3" customWidth="1"/>
    <col min="4616" max="4616" width="0" style="3" hidden="1" customWidth="1"/>
    <col min="4617" max="4864" width="9.140625" style="3"/>
    <col min="4865" max="4865" width="18.85546875" style="3" customWidth="1"/>
    <col min="4866" max="4866" width="13.42578125" style="3" customWidth="1"/>
    <col min="4867" max="4867" width="2.5703125" style="3" customWidth="1"/>
    <col min="4868" max="4868" width="13.42578125" style="3" customWidth="1"/>
    <col min="4869" max="4869" width="2.5703125" style="3" customWidth="1"/>
    <col min="4870" max="4870" width="13.42578125" style="3" customWidth="1"/>
    <col min="4871" max="4871" width="2.5703125" style="3" customWidth="1"/>
    <col min="4872" max="4872" width="0" style="3" hidden="1" customWidth="1"/>
    <col min="4873" max="5120" width="9.140625" style="3"/>
    <col min="5121" max="5121" width="18.85546875" style="3" customWidth="1"/>
    <col min="5122" max="5122" width="13.42578125" style="3" customWidth="1"/>
    <col min="5123" max="5123" width="2.5703125" style="3" customWidth="1"/>
    <col min="5124" max="5124" width="13.42578125" style="3" customWidth="1"/>
    <col min="5125" max="5125" width="2.5703125" style="3" customWidth="1"/>
    <col min="5126" max="5126" width="13.42578125" style="3" customWidth="1"/>
    <col min="5127" max="5127" width="2.5703125" style="3" customWidth="1"/>
    <col min="5128" max="5128" width="0" style="3" hidden="1" customWidth="1"/>
    <col min="5129" max="5376" width="9.140625" style="3"/>
    <col min="5377" max="5377" width="18.85546875" style="3" customWidth="1"/>
    <col min="5378" max="5378" width="13.42578125" style="3" customWidth="1"/>
    <col min="5379" max="5379" width="2.5703125" style="3" customWidth="1"/>
    <col min="5380" max="5380" width="13.42578125" style="3" customWidth="1"/>
    <col min="5381" max="5381" width="2.5703125" style="3" customWidth="1"/>
    <col min="5382" max="5382" width="13.42578125" style="3" customWidth="1"/>
    <col min="5383" max="5383" width="2.5703125" style="3" customWidth="1"/>
    <col min="5384" max="5384" width="0" style="3" hidden="1" customWidth="1"/>
    <col min="5385" max="5632" width="9.140625" style="3"/>
    <col min="5633" max="5633" width="18.85546875" style="3" customWidth="1"/>
    <col min="5634" max="5634" width="13.42578125" style="3" customWidth="1"/>
    <col min="5635" max="5635" width="2.5703125" style="3" customWidth="1"/>
    <col min="5636" max="5636" width="13.42578125" style="3" customWidth="1"/>
    <col min="5637" max="5637" width="2.5703125" style="3" customWidth="1"/>
    <col min="5638" max="5638" width="13.42578125" style="3" customWidth="1"/>
    <col min="5639" max="5639" width="2.5703125" style="3" customWidth="1"/>
    <col min="5640" max="5640" width="0" style="3" hidden="1" customWidth="1"/>
    <col min="5641" max="5888" width="9.140625" style="3"/>
    <col min="5889" max="5889" width="18.85546875" style="3" customWidth="1"/>
    <col min="5890" max="5890" width="13.42578125" style="3" customWidth="1"/>
    <col min="5891" max="5891" width="2.5703125" style="3" customWidth="1"/>
    <col min="5892" max="5892" width="13.42578125" style="3" customWidth="1"/>
    <col min="5893" max="5893" width="2.5703125" style="3" customWidth="1"/>
    <col min="5894" max="5894" width="13.42578125" style="3" customWidth="1"/>
    <col min="5895" max="5895" width="2.5703125" style="3" customWidth="1"/>
    <col min="5896" max="5896" width="0" style="3" hidden="1" customWidth="1"/>
    <col min="5897" max="6144" width="9.140625" style="3"/>
    <col min="6145" max="6145" width="18.85546875" style="3" customWidth="1"/>
    <col min="6146" max="6146" width="13.42578125" style="3" customWidth="1"/>
    <col min="6147" max="6147" width="2.5703125" style="3" customWidth="1"/>
    <col min="6148" max="6148" width="13.42578125" style="3" customWidth="1"/>
    <col min="6149" max="6149" width="2.5703125" style="3" customWidth="1"/>
    <col min="6150" max="6150" width="13.42578125" style="3" customWidth="1"/>
    <col min="6151" max="6151" width="2.5703125" style="3" customWidth="1"/>
    <col min="6152" max="6152" width="0" style="3" hidden="1" customWidth="1"/>
    <col min="6153" max="6400" width="9.140625" style="3"/>
    <col min="6401" max="6401" width="18.85546875" style="3" customWidth="1"/>
    <col min="6402" max="6402" width="13.42578125" style="3" customWidth="1"/>
    <col min="6403" max="6403" width="2.5703125" style="3" customWidth="1"/>
    <col min="6404" max="6404" width="13.42578125" style="3" customWidth="1"/>
    <col min="6405" max="6405" width="2.5703125" style="3" customWidth="1"/>
    <col min="6406" max="6406" width="13.42578125" style="3" customWidth="1"/>
    <col min="6407" max="6407" width="2.5703125" style="3" customWidth="1"/>
    <col min="6408" max="6408" width="0" style="3" hidden="1" customWidth="1"/>
    <col min="6409" max="6656" width="9.140625" style="3"/>
    <col min="6657" max="6657" width="18.85546875" style="3" customWidth="1"/>
    <col min="6658" max="6658" width="13.42578125" style="3" customWidth="1"/>
    <col min="6659" max="6659" width="2.5703125" style="3" customWidth="1"/>
    <col min="6660" max="6660" width="13.42578125" style="3" customWidth="1"/>
    <col min="6661" max="6661" width="2.5703125" style="3" customWidth="1"/>
    <col min="6662" max="6662" width="13.42578125" style="3" customWidth="1"/>
    <col min="6663" max="6663" width="2.5703125" style="3" customWidth="1"/>
    <col min="6664" max="6664" width="0" style="3" hidden="1" customWidth="1"/>
    <col min="6665" max="6912" width="9.140625" style="3"/>
    <col min="6913" max="6913" width="18.85546875" style="3" customWidth="1"/>
    <col min="6914" max="6914" width="13.42578125" style="3" customWidth="1"/>
    <col min="6915" max="6915" width="2.5703125" style="3" customWidth="1"/>
    <col min="6916" max="6916" width="13.42578125" style="3" customWidth="1"/>
    <col min="6917" max="6917" width="2.5703125" style="3" customWidth="1"/>
    <col min="6918" max="6918" width="13.42578125" style="3" customWidth="1"/>
    <col min="6919" max="6919" width="2.5703125" style="3" customWidth="1"/>
    <col min="6920" max="6920" width="0" style="3" hidden="1" customWidth="1"/>
    <col min="6921" max="7168" width="9.140625" style="3"/>
    <col min="7169" max="7169" width="18.85546875" style="3" customWidth="1"/>
    <col min="7170" max="7170" width="13.42578125" style="3" customWidth="1"/>
    <col min="7171" max="7171" width="2.5703125" style="3" customWidth="1"/>
    <col min="7172" max="7172" width="13.42578125" style="3" customWidth="1"/>
    <col min="7173" max="7173" width="2.5703125" style="3" customWidth="1"/>
    <col min="7174" max="7174" width="13.42578125" style="3" customWidth="1"/>
    <col min="7175" max="7175" width="2.5703125" style="3" customWidth="1"/>
    <col min="7176" max="7176" width="0" style="3" hidden="1" customWidth="1"/>
    <col min="7177" max="7424" width="9.140625" style="3"/>
    <col min="7425" max="7425" width="18.85546875" style="3" customWidth="1"/>
    <col min="7426" max="7426" width="13.42578125" style="3" customWidth="1"/>
    <col min="7427" max="7427" width="2.5703125" style="3" customWidth="1"/>
    <col min="7428" max="7428" width="13.42578125" style="3" customWidth="1"/>
    <col min="7429" max="7429" width="2.5703125" style="3" customWidth="1"/>
    <col min="7430" max="7430" width="13.42578125" style="3" customWidth="1"/>
    <col min="7431" max="7431" width="2.5703125" style="3" customWidth="1"/>
    <col min="7432" max="7432" width="0" style="3" hidden="1" customWidth="1"/>
    <col min="7433" max="7680" width="9.140625" style="3"/>
    <col min="7681" max="7681" width="18.85546875" style="3" customWidth="1"/>
    <col min="7682" max="7682" width="13.42578125" style="3" customWidth="1"/>
    <col min="7683" max="7683" width="2.5703125" style="3" customWidth="1"/>
    <col min="7684" max="7684" width="13.42578125" style="3" customWidth="1"/>
    <col min="7685" max="7685" width="2.5703125" style="3" customWidth="1"/>
    <col min="7686" max="7686" width="13.42578125" style="3" customWidth="1"/>
    <col min="7687" max="7687" width="2.5703125" style="3" customWidth="1"/>
    <col min="7688" max="7688" width="0" style="3" hidden="1" customWidth="1"/>
    <col min="7689" max="7936" width="9.140625" style="3"/>
    <col min="7937" max="7937" width="18.85546875" style="3" customWidth="1"/>
    <col min="7938" max="7938" width="13.42578125" style="3" customWidth="1"/>
    <col min="7939" max="7939" width="2.5703125" style="3" customWidth="1"/>
    <col min="7940" max="7940" width="13.42578125" style="3" customWidth="1"/>
    <col min="7941" max="7941" width="2.5703125" style="3" customWidth="1"/>
    <col min="7942" max="7942" width="13.42578125" style="3" customWidth="1"/>
    <col min="7943" max="7943" width="2.5703125" style="3" customWidth="1"/>
    <col min="7944" max="7944" width="0" style="3" hidden="1" customWidth="1"/>
    <col min="7945" max="8192" width="9.140625" style="3"/>
    <col min="8193" max="8193" width="18.85546875" style="3" customWidth="1"/>
    <col min="8194" max="8194" width="13.42578125" style="3" customWidth="1"/>
    <col min="8195" max="8195" width="2.5703125" style="3" customWidth="1"/>
    <col min="8196" max="8196" width="13.42578125" style="3" customWidth="1"/>
    <col min="8197" max="8197" width="2.5703125" style="3" customWidth="1"/>
    <col min="8198" max="8198" width="13.42578125" style="3" customWidth="1"/>
    <col min="8199" max="8199" width="2.5703125" style="3" customWidth="1"/>
    <col min="8200" max="8200" width="0" style="3" hidden="1" customWidth="1"/>
    <col min="8201" max="8448" width="9.140625" style="3"/>
    <col min="8449" max="8449" width="18.85546875" style="3" customWidth="1"/>
    <col min="8450" max="8450" width="13.42578125" style="3" customWidth="1"/>
    <col min="8451" max="8451" width="2.5703125" style="3" customWidth="1"/>
    <col min="8452" max="8452" width="13.42578125" style="3" customWidth="1"/>
    <col min="8453" max="8453" width="2.5703125" style="3" customWidth="1"/>
    <col min="8454" max="8454" width="13.42578125" style="3" customWidth="1"/>
    <col min="8455" max="8455" width="2.5703125" style="3" customWidth="1"/>
    <col min="8456" max="8456" width="0" style="3" hidden="1" customWidth="1"/>
    <col min="8457" max="8704" width="9.140625" style="3"/>
    <col min="8705" max="8705" width="18.85546875" style="3" customWidth="1"/>
    <col min="8706" max="8706" width="13.42578125" style="3" customWidth="1"/>
    <col min="8707" max="8707" width="2.5703125" style="3" customWidth="1"/>
    <col min="8708" max="8708" width="13.42578125" style="3" customWidth="1"/>
    <col min="8709" max="8709" width="2.5703125" style="3" customWidth="1"/>
    <col min="8710" max="8710" width="13.42578125" style="3" customWidth="1"/>
    <col min="8711" max="8711" width="2.5703125" style="3" customWidth="1"/>
    <col min="8712" max="8712" width="0" style="3" hidden="1" customWidth="1"/>
    <col min="8713" max="8960" width="9.140625" style="3"/>
    <col min="8961" max="8961" width="18.85546875" style="3" customWidth="1"/>
    <col min="8962" max="8962" width="13.42578125" style="3" customWidth="1"/>
    <col min="8963" max="8963" width="2.5703125" style="3" customWidth="1"/>
    <col min="8964" max="8964" width="13.42578125" style="3" customWidth="1"/>
    <col min="8965" max="8965" width="2.5703125" style="3" customWidth="1"/>
    <col min="8966" max="8966" width="13.42578125" style="3" customWidth="1"/>
    <col min="8967" max="8967" width="2.5703125" style="3" customWidth="1"/>
    <col min="8968" max="8968" width="0" style="3" hidden="1" customWidth="1"/>
    <col min="8969" max="9216" width="9.140625" style="3"/>
    <col min="9217" max="9217" width="18.85546875" style="3" customWidth="1"/>
    <col min="9218" max="9218" width="13.42578125" style="3" customWidth="1"/>
    <col min="9219" max="9219" width="2.5703125" style="3" customWidth="1"/>
    <col min="9220" max="9220" width="13.42578125" style="3" customWidth="1"/>
    <col min="9221" max="9221" width="2.5703125" style="3" customWidth="1"/>
    <col min="9222" max="9222" width="13.42578125" style="3" customWidth="1"/>
    <col min="9223" max="9223" width="2.5703125" style="3" customWidth="1"/>
    <col min="9224" max="9224" width="0" style="3" hidden="1" customWidth="1"/>
    <col min="9225" max="9472" width="9.140625" style="3"/>
    <col min="9473" max="9473" width="18.85546875" style="3" customWidth="1"/>
    <col min="9474" max="9474" width="13.42578125" style="3" customWidth="1"/>
    <col min="9475" max="9475" width="2.5703125" style="3" customWidth="1"/>
    <col min="9476" max="9476" width="13.42578125" style="3" customWidth="1"/>
    <col min="9477" max="9477" width="2.5703125" style="3" customWidth="1"/>
    <col min="9478" max="9478" width="13.42578125" style="3" customWidth="1"/>
    <col min="9479" max="9479" width="2.5703125" style="3" customWidth="1"/>
    <col min="9480" max="9480" width="0" style="3" hidden="1" customWidth="1"/>
    <col min="9481" max="9728" width="9.140625" style="3"/>
    <col min="9729" max="9729" width="18.85546875" style="3" customWidth="1"/>
    <col min="9730" max="9730" width="13.42578125" style="3" customWidth="1"/>
    <col min="9731" max="9731" width="2.5703125" style="3" customWidth="1"/>
    <col min="9732" max="9732" width="13.42578125" style="3" customWidth="1"/>
    <col min="9733" max="9733" width="2.5703125" style="3" customWidth="1"/>
    <col min="9734" max="9734" width="13.42578125" style="3" customWidth="1"/>
    <col min="9735" max="9735" width="2.5703125" style="3" customWidth="1"/>
    <col min="9736" max="9736" width="0" style="3" hidden="1" customWidth="1"/>
    <col min="9737" max="9984" width="9.140625" style="3"/>
    <col min="9985" max="9985" width="18.85546875" style="3" customWidth="1"/>
    <col min="9986" max="9986" width="13.42578125" style="3" customWidth="1"/>
    <col min="9987" max="9987" width="2.5703125" style="3" customWidth="1"/>
    <col min="9988" max="9988" width="13.42578125" style="3" customWidth="1"/>
    <col min="9989" max="9989" width="2.5703125" style="3" customWidth="1"/>
    <col min="9990" max="9990" width="13.42578125" style="3" customWidth="1"/>
    <col min="9991" max="9991" width="2.5703125" style="3" customWidth="1"/>
    <col min="9992" max="9992" width="0" style="3" hidden="1" customWidth="1"/>
    <col min="9993" max="10240" width="9.140625" style="3"/>
    <col min="10241" max="10241" width="18.85546875" style="3" customWidth="1"/>
    <col min="10242" max="10242" width="13.42578125" style="3" customWidth="1"/>
    <col min="10243" max="10243" width="2.5703125" style="3" customWidth="1"/>
    <col min="10244" max="10244" width="13.42578125" style="3" customWidth="1"/>
    <col min="10245" max="10245" width="2.5703125" style="3" customWidth="1"/>
    <col min="10246" max="10246" width="13.42578125" style="3" customWidth="1"/>
    <col min="10247" max="10247" width="2.5703125" style="3" customWidth="1"/>
    <col min="10248" max="10248" width="0" style="3" hidden="1" customWidth="1"/>
    <col min="10249" max="10496" width="9.140625" style="3"/>
    <col min="10497" max="10497" width="18.85546875" style="3" customWidth="1"/>
    <col min="10498" max="10498" width="13.42578125" style="3" customWidth="1"/>
    <col min="10499" max="10499" width="2.5703125" style="3" customWidth="1"/>
    <col min="10500" max="10500" width="13.42578125" style="3" customWidth="1"/>
    <col min="10501" max="10501" width="2.5703125" style="3" customWidth="1"/>
    <col min="10502" max="10502" width="13.42578125" style="3" customWidth="1"/>
    <col min="10503" max="10503" width="2.5703125" style="3" customWidth="1"/>
    <col min="10504" max="10504" width="0" style="3" hidden="1" customWidth="1"/>
    <col min="10505" max="10752" width="9.140625" style="3"/>
    <col min="10753" max="10753" width="18.85546875" style="3" customWidth="1"/>
    <col min="10754" max="10754" width="13.42578125" style="3" customWidth="1"/>
    <col min="10755" max="10755" width="2.5703125" style="3" customWidth="1"/>
    <col min="10756" max="10756" width="13.42578125" style="3" customWidth="1"/>
    <col min="10757" max="10757" width="2.5703125" style="3" customWidth="1"/>
    <col min="10758" max="10758" width="13.42578125" style="3" customWidth="1"/>
    <col min="10759" max="10759" width="2.5703125" style="3" customWidth="1"/>
    <col min="10760" max="10760" width="0" style="3" hidden="1" customWidth="1"/>
    <col min="10761" max="11008" width="9.140625" style="3"/>
    <col min="11009" max="11009" width="18.85546875" style="3" customWidth="1"/>
    <col min="11010" max="11010" width="13.42578125" style="3" customWidth="1"/>
    <col min="11011" max="11011" width="2.5703125" style="3" customWidth="1"/>
    <col min="11012" max="11012" width="13.42578125" style="3" customWidth="1"/>
    <col min="11013" max="11013" width="2.5703125" style="3" customWidth="1"/>
    <col min="11014" max="11014" width="13.42578125" style="3" customWidth="1"/>
    <col min="11015" max="11015" width="2.5703125" style="3" customWidth="1"/>
    <col min="11016" max="11016" width="0" style="3" hidden="1" customWidth="1"/>
    <col min="11017" max="11264" width="9.140625" style="3"/>
    <col min="11265" max="11265" width="18.85546875" style="3" customWidth="1"/>
    <col min="11266" max="11266" width="13.42578125" style="3" customWidth="1"/>
    <col min="11267" max="11267" width="2.5703125" style="3" customWidth="1"/>
    <col min="11268" max="11268" width="13.42578125" style="3" customWidth="1"/>
    <col min="11269" max="11269" width="2.5703125" style="3" customWidth="1"/>
    <col min="11270" max="11270" width="13.42578125" style="3" customWidth="1"/>
    <col min="11271" max="11271" width="2.5703125" style="3" customWidth="1"/>
    <col min="11272" max="11272" width="0" style="3" hidden="1" customWidth="1"/>
    <col min="11273" max="11520" width="9.140625" style="3"/>
    <col min="11521" max="11521" width="18.85546875" style="3" customWidth="1"/>
    <col min="11522" max="11522" width="13.42578125" style="3" customWidth="1"/>
    <col min="11523" max="11523" width="2.5703125" style="3" customWidth="1"/>
    <col min="11524" max="11524" width="13.42578125" style="3" customWidth="1"/>
    <col min="11525" max="11525" width="2.5703125" style="3" customWidth="1"/>
    <col min="11526" max="11526" width="13.42578125" style="3" customWidth="1"/>
    <col min="11527" max="11527" width="2.5703125" style="3" customWidth="1"/>
    <col min="11528" max="11528" width="0" style="3" hidden="1" customWidth="1"/>
    <col min="11529" max="11776" width="9.140625" style="3"/>
    <col min="11777" max="11777" width="18.85546875" style="3" customWidth="1"/>
    <col min="11778" max="11778" width="13.42578125" style="3" customWidth="1"/>
    <col min="11779" max="11779" width="2.5703125" style="3" customWidth="1"/>
    <col min="11780" max="11780" width="13.42578125" style="3" customWidth="1"/>
    <col min="11781" max="11781" width="2.5703125" style="3" customWidth="1"/>
    <col min="11782" max="11782" width="13.42578125" style="3" customWidth="1"/>
    <col min="11783" max="11783" width="2.5703125" style="3" customWidth="1"/>
    <col min="11784" max="11784" width="0" style="3" hidden="1" customWidth="1"/>
    <col min="11785" max="12032" width="9.140625" style="3"/>
    <col min="12033" max="12033" width="18.85546875" style="3" customWidth="1"/>
    <col min="12034" max="12034" width="13.42578125" style="3" customWidth="1"/>
    <col min="12035" max="12035" width="2.5703125" style="3" customWidth="1"/>
    <col min="12036" max="12036" width="13.42578125" style="3" customWidth="1"/>
    <col min="12037" max="12037" width="2.5703125" style="3" customWidth="1"/>
    <col min="12038" max="12038" width="13.42578125" style="3" customWidth="1"/>
    <col min="12039" max="12039" width="2.5703125" style="3" customWidth="1"/>
    <col min="12040" max="12040" width="0" style="3" hidden="1" customWidth="1"/>
    <col min="12041" max="12288" width="9.140625" style="3"/>
    <col min="12289" max="12289" width="18.85546875" style="3" customWidth="1"/>
    <col min="12290" max="12290" width="13.42578125" style="3" customWidth="1"/>
    <col min="12291" max="12291" width="2.5703125" style="3" customWidth="1"/>
    <col min="12292" max="12292" width="13.42578125" style="3" customWidth="1"/>
    <col min="12293" max="12293" width="2.5703125" style="3" customWidth="1"/>
    <col min="12294" max="12294" width="13.42578125" style="3" customWidth="1"/>
    <col min="12295" max="12295" width="2.5703125" style="3" customWidth="1"/>
    <col min="12296" max="12296" width="0" style="3" hidden="1" customWidth="1"/>
    <col min="12297" max="12544" width="9.140625" style="3"/>
    <col min="12545" max="12545" width="18.85546875" style="3" customWidth="1"/>
    <col min="12546" max="12546" width="13.42578125" style="3" customWidth="1"/>
    <col min="12547" max="12547" width="2.5703125" style="3" customWidth="1"/>
    <col min="12548" max="12548" width="13.42578125" style="3" customWidth="1"/>
    <col min="12549" max="12549" width="2.5703125" style="3" customWidth="1"/>
    <col min="12550" max="12550" width="13.42578125" style="3" customWidth="1"/>
    <col min="12551" max="12551" width="2.5703125" style="3" customWidth="1"/>
    <col min="12552" max="12552" width="0" style="3" hidden="1" customWidth="1"/>
    <col min="12553" max="12800" width="9.140625" style="3"/>
    <col min="12801" max="12801" width="18.85546875" style="3" customWidth="1"/>
    <col min="12802" max="12802" width="13.42578125" style="3" customWidth="1"/>
    <col min="12803" max="12803" width="2.5703125" style="3" customWidth="1"/>
    <col min="12804" max="12804" width="13.42578125" style="3" customWidth="1"/>
    <col min="12805" max="12805" width="2.5703125" style="3" customWidth="1"/>
    <col min="12806" max="12806" width="13.42578125" style="3" customWidth="1"/>
    <col min="12807" max="12807" width="2.5703125" style="3" customWidth="1"/>
    <col min="12808" max="12808" width="0" style="3" hidden="1" customWidth="1"/>
    <col min="12809" max="13056" width="9.140625" style="3"/>
    <col min="13057" max="13057" width="18.85546875" style="3" customWidth="1"/>
    <col min="13058" max="13058" width="13.42578125" style="3" customWidth="1"/>
    <col min="13059" max="13059" width="2.5703125" style="3" customWidth="1"/>
    <col min="13060" max="13060" width="13.42578125" style="3" customWidth="1"/>
    <col min="13061" max="13061" width="2.5703125" style="3" customWidth="1"/>
    <col min="13062" max="13062" width="13.42578125" style="3" customWidth="1"/>
    <col min="13063" max="13063" width="2.5703125" style="3" customWidth="1"/>
    <col min="13064" max="13064" width="0" style="3" hidden="1" customWidth="1"/>
    <col min="13065" max="13312" width="9.140625" style="3"/>
    <col min="13313" max="13313" width="18.85546875" style="3" customWidth="1"/>
    <col min="13314" max="13314" width="13.42578125" style="3" customWidth="1"/>
    <col min="13315" max="13315" width="2.5703125" style="3" customWidth="1"/>
    <col min="13316" max="13316" width="13.42578125" style="3" customWidth="1"/>
    <col min="13317" max="13317" width="2.5703125" style="3" customWidth="1"/>
    <col min="13318" max="13318" width="13.42578125" style="3" customWidth="1"/>
    <col min="13319" max="13319" width="2.5703125" style="3" customWidth="1"/>
    <col min="13320" max="13320" width="0" style="3" hidden="1" customWidth="1"/>
    <col min="13321" max="13568" width="9.140625" style="3"/>
    <col min="13569" max="13569" width="18.85546875" style="3" customWidth="1"/>
    <col min="13570" max="13570" width="13.42578125" style="3" customWidth="1"/>
    <col min="13571" max="13571" width="2.5703125" style="3" customWidth="1"/>
    <col min="13572" max="13572" width="13.42578125" style="3" customWidth="1"/>
    <col min="13573" max="13573" width="2.5703125" style="3" customWidth="1"/>
    <col min="13574" max="13574" width="13.42578125" style="3" customWidth="1"/>
    <col min="13575" max="13575" width="2.5703125" style="3" customWidth="1"/>
    <col min="13576" max="13576" width="0" style="3" hidden="1" customWidth="1"/>
    <col min="13577" max="13824" width="9.140625" style="3"/>
    <col min="13825" max="13825" width="18.85546875" style="3" customWidth="1"/>
    <col min="13826" max="13826" width="13.42578125" style="3" customWidth="1"/>
    <col min="13827" max="13827" width="2.5703125" style="3" customWidth="1"/>
    <col min="13828" max="13828" width="13.42578125" style="3" customWidth="1"/>
    <col min="13829" max="13829" width="2.5703125" style="3" customWidth="1"/>
    <col min="13830" max="13830" width="13.42578125" style="3" customWidth="1"/>
    <col min="13831" max="13831" width="2.5703125" style="3" customWidth="1"/>
    <col min="13832" max="13832" width="0" style="3" hidden="1" customWidth="1"/>
    <col min="13833" max="14080" width="9.140625" style="3"/>
    <col min="14081" max="14081" width="18.85546875" style="3" customWidth="1"/>
    <col min="14082" max="14082" width="13.42578125" style="3" customWidth="1"/>
    <col min="14083" max="14083" width="2.5703125" style="3" customWidth="1"/>
    <col min="14084" max="14084" width="13.42578125" style="3" customWidth="1"/>
    <col min="14085" max="14085" width="2.5703125" style="3" customWidth="1"/>
    <col min="14086" max="14086" width="13.42578125" style="3" customWidth="1"/>
    <col min="14087" max="14087" width="2.5703125" style="3" customWidth="1"/>
    <col min="14088" max="14088" width="0" style="3" hidden="1" customWidth="1"/>
    <col min="14089" max="14336" width="9.140625" style="3"/>
    <col min="14337" max="14337" width="18.85546875" style="3" customWidth="1"/>
    <col min="14338" max="14338" width="13.42578125" style="3" customWidth="1"/>
    <col min="14339" max="14339" width="2.5703125" style="3" customWidth="1"/>
    <col min="14340" max="14340" width="13.42578125" style="3" customWidth="1"/>
    <col min="14341" max="14341" width="2.5703125" style="3" customWidth="1"/>
    <col min="14342" max="14342" width="13.42578125" style="3" customWidth="1"/>
    <col min="14343" max="14343" width="2.5703125" style="3" customWidth="1"/>
    <col min="14344" max="14344" width="0" style="3" hidden="1" customWidth="1"/>
    <col min="14345" max="14592" width="9.140625" style="3"/>
    <col min="14593" max="14593" width="18.85546875" style="3" customWidth="1"/>
    <col min="14594" max="14594" width="13.42578125" style="3" customWidth="1"/>
    <col min="14595" max="14595" width="2.5703125" style="3" customWidth="1"/>
    <col min="14596" max="14596" width="13.42578125" style="3" customWidth="1"/>
    <col min="14597" max="14597" width="2.5703125" style="3" customWidth="1"/>
    <col min="14598" max="14598" width="13.42578125" style="3" customWidth="1"/>
    <col min="14599" max="14599" width="2.5703125" style="3" customWidth="1"/>
    <col min="14600" max="14600" width="0" style="3" hidden="1" customWidth="1"/>
    <col min="14601" max="14848" width="9.140625" style="3"/>
    <col min="14849" max="14849" width="18.85546875" style="3" customWidth="1"/>
    <col min="14850" max="14850" width="13.42578125" style="3" customWidth="1"/>
    <col min="14851" max="14851" width="2.5703125" style="3" customWidth="1"/>
    <col min="14852" max="14852" width="13.42578125" style="3" customWidth="1"/>
    <col min="14853" max="14853" width="2.5703125" style="3" customWidth="1"/>
    <col min="14854" max="14854" width="13.42578125" style="3" customWidth="1"/>
    <col min="14855" max="14855" width="2.5703125" style="3" customWidth="1"/>
    <col min="14856" max="14856" width="0" style="3" hidden="1" customWidth="1"/>
    <col min="14857" max="15104" width="9.140625" style="3"/>
    <col min="15105" max="15105" width="18.85546875" style="3" customWidth="1"/>
    <col min="15106" max="15106" width="13.42578125" style="3" customWidth="1"/>
    <col min="15107" max="15107" width="2.5703125" style="3" customWidth="1"/>
    <col min="15108" max="15108" width="13.42578125" style="3" customWidth="1"/>
    <col min="15109" max="15109" width="2.5703125" style="3" customWidth="1"/>
    <col min="15110" max="15110" width="13.42578125" style="3" customWidth="1"/>
    <col min="15111" max="15111" width="2.5703125" style="3" customWidth="1"/>
    <col min="15112" max="15112" width="0" style="3" hidden="1" customWidth="1"/>
    <col min="15113" max="15360" width="9.140625" style="3"/>
    <col min="15361" max="15361" width="18.85546875" style="3" customWidth="1"/>
    <col min="15362" max="15362" width="13.42578125" style="3" customWidth="1"/>
    <col min="15363" max="15363" width="2.5703125" style="3" customWidth="1"/>
    <col min="15364" max="15364" width="13.42578125" style="3" customWidth="1"/>
    <col min="15365" max="15365" width="2.5703125" style="3" customWidth="1"/>
    <col min="15366" max="15366" width="13.42578125" style="3" customWidth="1"/>
    <col min="15367" max="15367" width="2.5703125" style="3" customWidth="1"/>
    <col min="15368" max="15368" width="0" style="3" hidden="1" customWidth="1"/>
    <col min="15369" max="15616" width="9.140625" style="3"/>
    <col min="15617" max="15617" width="18.85546875" style="3" customWidth="1"/>
    <col min="15618" max="15618" width="13.42578125" style="3" customWidth="1"/>
    <col min="15619" max="15619" width="2.5703125" style="3" customWidth="1"/>
    <col min="15620" max="15620" width="13.42578125" style="3" customWidth="1"/>
    <col min="15621" max="15621" width="2.5703125" style="3" customWidth="1"/>
    <col min="15622" max="15622" width="13.42578125" style="3" customWidth="1"/>
    <col min="15623" max="15623" width="2.5703125" style="3" customWidth="1"/>
    <col min="15624" max="15624" width="0" style="3" hidden="1" customWidth="1"/>
    <col min="15625" max="15872" width="9.140625" style="3"/>
    <col min="15873" max="15873" width="18.85546875" style="3" customWidth="1"/>
    <col min="15874" max="15874" width="13.42578125" style="3" customWidth="1"/>
    <col min="15875" max="15875" width="2.5703125" style="3" customWidth="1"/>
    <col min="15876" max="15876" width="13.42578125" style="3" customWidth="1"/>
    <col min="15877" max="15877" width="2.5703125" style="3" customWidth="1"/>
    <col min="15878" max="15878" width="13.42578125" style="3" customWidth="1"/>
    <col min="15879" max="15879" width="2.5703125" style="3" customWidth="1"/>
    <col min="15880" max="15880" width="0" style="3" hidden="1" customWidth="1"/>
    <col min="15881" max="16128" width="9.140625" style="3"/>
    <col min="16129" max="16129" width="18.85546875" style="3" customWidth="1"/>
    <col min="16130" max="16130" width="13.42578125" style="3" customWidth="1"/>
    <col min="16131" max="16131" width="2.5703125" style="3" customWidth="1"/>
    <col min="16132" max="16132" width="13.42578125" style="3" customWidth="1"/>
    <col min="16133" max="16133" width="2.5703125" style="3" customWidth="1"/>
    <col min="16134" max="16134" width="13.42578125" style="3" customWidth="1"/>
    <col min="16135" max="16135" width="2.5703125" style="3" customWidth="1"/>
    <col min="16136" max="16136" width="0" style="3" hidden="1" customWidth="1"/>
    <col min="16137" max="16384" width="9.140625" style="3"/>
  </cols>
  <sheetData>
    <row r="1" spans="1:16" ht="17.100000000000001" customHeight="1" x14ac:dyDescent="0.2">
      <c r="A1" s="62" t="s">
        <v>109</v>
      </c>
      <c r="B1" s="63"/>
      <c r="C1" s="63"/>
      <c r="D1" s="63"/>
      <c r="E1" s="63"/>
      <c r="F1" s="63"/>
      <c r="G1" s="63"/>
      <c r="H1" s="63"/>
      <c r="K1" s="3" t="s">
        <v>118</v>
      </c>
    </row>
    <row r="2" spans="1:16" ht="9.9499999999999993" customHeight="1" x14ac:dyDescent="0.2"/>
    <row r="3" spans="1:16" ht="17.100000000000001" customHeight="1" x14ac:dyDescent="0.2">
      <c r="A3" s="5"/>
      <c r="B3" s="64" t="s">
        <v>110</v>
      </c>
      <c r="C3" s="65"/>
      <c r="D3" s="65"/>
      <c r="E3" s="65"/>
      <c r="F3" s="65"/>
      <c r="G3" s="65"/>
      <c r="K3" s="3" t="s">
        <v>117</v>
      </c>
      <c r="L3" s="27">
        <v>61</v>
      </c>
    </row>
    <row r="4" spans="1:16" x14ac:dyDescent="0.2">
      <c r="A4" s="6"/>
      <c r="B4" s="7" t="s">
        <v>111</v>
      </c>
      <c r="C4" s="8"/>
      <c r="D4" s="9" t="s">
        <v>112</v>
      </c>
      <c r="E4" s="8"/>
      <c r="F4" s="9" t="s">
        <v>113</v>
      </c>
      <c r="G4" s="8"/>
    </row>
    <row r="5" spans="1:16" x14ac:dyDescent="0.2">
      <c r="A5" s="10"/>
      <c r="B5" s="11"/>
      <c r="C5" s="12"/>
      <c r="D5" s="12"/>
      <c r="E5" s="12"/>
      <c r="F5" s="12"/>
      <c r="G5" s="12"/>
      <c r="M5" s="3" t="s">
        <v>316</v>
      </c>
      <c r="N5" s="55" t="s">
        <v>314</v>
      </c>
      <c r="O5" s="55" t="s">
        <v>315</v>
      </c>
    </row>
    <row r="6" spans="1:16" x14ac:dyDescent="0.2">
      <c r="A6" s="13">
        <v>7396</v>
      </c>
      <c r="B6" s="11">
        <v>27</v>
      </c>
      <c r="C6" s="8"/>
      <c r="D6" s="12" t="s">
        <v>114</v>
      </c>
      <c r="E6" s="8"/>
      <c r="F6" s="14">
        <v>11.9</v>
      </c>
      <c r="G6" s="8"/>
      <c r="L6" s="17">
        <v>7306</v>
      </c>
      <c r="M6" s="3">
        <f>VLOOKUP(EOMONTH(L6,MONTH(L$3)-1),$A$6:$B$378,2,FALSE)</f>
        <v>27</v>
      </c>
      <c r="N6" s="56">
        <v>0</v>
      </c>
      <c r="O6" s="55">
        <f>M6/(1+N6)</f>
        <v>27</v>
      </c>
    </row>
    <row r="7" spans="1:16" x14ac:dyDescent="0.2">
      <c r="A7" s="13">
        <v>7487</v>
      </c>
      <c r="B7" s="11" t="s">
        <v>108</v>
      </c>
      <c r="C7" s="8"/>
      <c r="D7" s="12" t="s">
        <v>114</v>
      </c>
      <c r="E7" s="8"/>
      <c r="F7" s="12" t="s">
        <v>108</v>
      </c>
      <c r="G7" s="8"/>
      <c r="L7" s="17">
        <v>7672</v>
      </c>
      <c r="M7" s="3">
        <f t="shared" ref="M7:M70" si="0">VLOOKUP(EOMONTH(L7,MONTH(L$3)-1),$A$6:$B$378,2,FALSE)</f>
        <v>29</v>
      </c>
      <c r="N7" s="56">
        <v>0</v>
      </c>
      <c r="O7" s="55">
        <f t="shared" ref="O7:O70" si="1">M7/(1+N7)</f>
        <v>29</v>
      </c>
    </row>
    <row r="8" spans="1:16" x14ac:dyDescent="0.2">
      <c r="A8" s="13">
        <v>7579</v>
      </c>
      <c r="B8" s="11">
        <v>29</v>
      </c>
      <c r="C8" s="8"/>
      <c r="D8" s="12" t="s">
        <v>114</v>
      </c>
      <c r="E8" s="8"/>
      <c r="F8" s="14">
        <v>15.4</v>
      </c>
      <c r="G8" s="8"/>
      <c r="L8" s="17">
        <v>8037</v>
      </c>
      <c r="M8" s="3">
        <f t="shared" si="0"/>
        <v>26</v>
      </c>
      <c r="N8" s="56">
        <v>0</v>
      </c>
      <c r="O8" s="55">
        <f t="shared" si="1"/>
        <v>26</v>
      </c>
    </row>
    <row r="9" spans="1:16" x14ac:dyDescent="0.2">
      <c r="A9" s="13">
        <v>7671</v>
      </c>
      <c r="B9" s="11" t="s">
        <v>108</v>
      </c>
      <c r="C9" s="8"/>
      <c r="D9" s="12" t="s">
        <v>114</v>
      </c>
      <c r="E9" s="8"/>
      <c r="F9" s="12" t="s">
        <v>108</v>
      </c>
      <c r="G9" s="8"/>
      <c r="L9" s="17">
        <v>8402</v>
      </c>
      <c r="M9" s="3">
        <f t="shared" si="0"/>
        <v>25</v>
      </c>
      <c r="N9" s="56">
        <v>0</v>
      </c>
      <c r="O9" s="55">
        <f t="shared" si="1"/>
        <v>25</v>
      </c>
    </row>
    <row r="10" spans="1:16" x14ac:dyDescent="0.2">
      <c r="A10" s="13">
        <v>7761</v>
      </c>
      <c r="B10" s="11">
        <v>29</v>
      </c>
      <c r="C10" s="8"/>
      <c r="D10" s="12" t="s">
        <v>114</v>
      </c>
      <c r="E10" s="8"/>
      <c r="F10" s="14">
        <v>8.6999999999999993</v>
      </c>
      <c r="G10" s="8"/>
      <c r="L10" s="17">
        <v>8767</v>
      </c>
      <c r="M10" s="3">
        <f t="shared" si="0"/>
        <v>26</v>
      </c>
      <c r="N10" s="56">
        <v>0</v>
      </c>
      <c r="O10" s="55">
        <f t="shared" si="1"/>
        <v>26</v>
      </c>
      <c r="P10" s="16"/>
    </row>
    <row r="11" spans="1:16" x14ac:dyDescent="0.2">
      <c r="A11" s="13">
        <v>7852</v>
      </c>
      <c r="B11" s="11" t="s">
        <v>108</v>
      </c>
      <c r="C11" s="8"/>
      <c r="D11" s="12" t="s">
        <v>114</v>
      </c>
      <c r="E11" s="8"/>
      <c r="F11" s="12" t="s">
        <v>108</v>
      </c>
      <c r="G11" s="8"/>
      <c r="L11" s="17">
        <v>9133</v>
      </c>
      <c r="M11" s="3">
        <f t="shared" si="0"/>
        <v>25</v>
      </c>
      <c r="N11" s="56">
        <v>0</v>
      </c>
      <c r="O11" s="55">
        <f t="shared" si="1"/>
        <v>25</v>
      </c>
    </row>
    <row r="12" spans="1:16" x14ac:dyDescent="0.2">
      <c r="A12" s="13">
        <v>7944</v>
      </c>
      <c r="B12" s="11">
        <v>28</v>
      </c>
      <c r="C12" s="8"/>
      <c r="D12" s="12" t="s">
        <v>114</v>
      </c>
      <c r="E12" s="8"/>
      <c r="F12" s="14">
        <v>-1.8</v>
      </c>
      <c r="G12" s="8"/>
      <c r="L12" s="17">
        <v>9498</v>
      </c>
      <c r="M12" s="3">
        <f t="shared" si="0"/>
        <v>26</v>
      </c>
      <c r="N12" s="56">
        <v>0</v>
      </c>
      <c r="O12" s="55">
        <f t="shared" si="1"/>
        <v>26</v>
      </c>
    </row>
    <row r="13" spans="1:16" x14ac:dyDescent="0.2">
      <c r="A13" s="13">
        <v>8036</v>
      </c>
      <c r="B13" s="11" t="s">
        <v>108</v>
      </c>
      <c r="C13" s="8"/>
      <c r="D13" s="12" t="s">
        <v>114</v>
      </c>
      <c r="E13" s="8"/>
      <c r="F13" s="12" t="s">
        <v>108</v>
      </c>
      <c r="G13" s="8"/>
      <c r="L13" s="17">
        <v>9863</v>
      </c>
      <c r="M13" s="3">
        <f t="shared" si="0"/>
        <v>26</v>
      </c>
      <c r="N13" s="56">
        <v>0</v>
      </c>
      <c r="O13" s="55">
        <f t="shared" si="1"/>
        <v>26</v>
      </c>
    </row>
    <row r="14" spans="1:16" x14ac:dyDescent="0.2">
      <c r="A14" s="13">
        <v>8126</v>
      </c>
      <c r="B14" s="11">
        <v>26</v>
      </c>
      <c r="C14" s="8"/>
      <c r="D14" s="12" t="s">
        <v>114</v>
      </c>
      <c r="E14" s="8"/>
      <c r="F14" s="14">
        <v>-11.1</v>
      </c>
      <c r="G14" s="8"/>
      <c r="L14" s="17">
        <v>10228</v>
      </c>
      <c r="M14" s="3">
        <f t="shared" si="0"/>
        <v>25</v>
      </c>
      <c r="N14" s="56">
        <v>0</v>
      </c>
      <c r="O14" s="55">
        <f t="shared" si="1"/>
        <v>25</v>
      </c>
    </row>
    <row r="15" spans="1:16" x14ac:dyDescent="0.2">
      <c r="A15" s="13">
        <v>8217</v>
      </c>
      <c r="B15" s="11" t="s">
        <v>108</v>
      </c>
      <c r="C15" s="8"/>
      <c r="D15" s="12" t="s">
        <v>114</v>
      </c>
      <c r="E15" s="8"/>
      <c r="F15" s="12" t="s">
        <v>108</v>
      </c>
      <c r="G15" s="8"/>
      <c r="L15" s="17">
        <v>10594</v>
      </c>
      <c r="M15" s="3">
        <f t="shared" si="0"/>
        <v>25</v>
      </c>
      <c r="N15" s="56">
        <v>0</v>
      </c>
      <c r="O15" s="55">
        <f t="shared" si="1"/>
        <v>25</v>
      </c>
    </row>
    <row r="16" spans="1:16" x14ac:dyDescent="0.2">
      <c r="A16" s="13">
        <v>8309</v>
      </c>
      <c r="B16" s="11">
        <v>25</v>
      </c>
      <c r="C16" s="8"/>
      <c r="D16" s="12" t="s">
        <v>114</v>
      </c>
      <c r="E16" s="8"/>
      <c r="F16" s="14">
        <v>-10.8</v>
      </c>
      <c r="G16" s="8"/>
      <c r="L16" s="17">
        <v>10959</v>
      </c>
      <c r="M16" s="3">
        <f t="shared" si="0"/>
        <v>25</v>
      </c>
      <c r="N16" s="56">
        <v>0</v>
      </c>
      <c r="O16" s="55">
        <f t="shared" si="1"/>
        <v>25</v>
      </c>
    </row>
    <row r="17" spans="1:15" x14ac:dyDescent="0.2">
      <c r="A17" s="13">
        <v>8401</v>
      </c>
      <c r="B17" s="11" t="s">
        <v>108</v>
      </c>
      <c r="C17" s="8"/>
      <c r="D17" s="12" t="s">
        <v>114</v>
      </c>
      <c r="E17" s="8"/>
      <c r="F17" s="12" t="s">
        <v>108</v>
      </c>
      <c r="G17" s="8"/>
      <c r="L17" s="17">
        <v>11324</v>
      </c>
      <c r="M17" s="3">
        <f t="shared" si="0"/>
        <v>24</v>
      </c>
      <c r="N17" s="56">
        <v>0</v>
      </c>
      <c r="O17" s="55">
        <f t="shared" si="1"/>
        <v>24</v>
      </c>
    </row>
    <row r="18" spans="1:15" x14ac:dyDescent="0.2">
      <c r="A18" s="13">
        <v>8491</v>
      </c>
      <c r="B18" s="11">
        <v>25</v>
      </c>
      <c r="C18" s="8"/>
      <c r="D18" s="12" t="s">
        <v>114</v>
      </c>
      <c r="E18" s="8"/>
      <c r="F18" s="14">
        <v>-4.8</v>
      </c>
      <c r="G18" s="8"/>
      <c r="L18" s="17">
        <v>11689</v>
      </c>
      <c r="M18" s="3">
        <f t="shared" si="0"/>
        <v>22</v>
      </c>
      <c r="N18" s="56">
        <v>0</v>
      </c>
      <c r="O18" s="55">
        <f t="shared" si="1"/>
        <v>22</v>
      </c>
    </row>
    <row r="19" spans="1:15" x14ac:dyDescent="0.2">
      <c r="A19" s="13">
        <v>8582</v>
      </c>
      <c r="B19" s="11" t="s">
        <v>108</v>
      </c>
      <c r="C19" s="8"/>
      <c r="D19" s="12" t="s">
        <v>114</v>
      </c>
      <c r="E19" s="8"/>
      <c r="F19" s="12" t="s">
        <v>108</v>
      </c>
      <c r="G19" s="8"/>
      <c r="L19" s="17">
        <v>12055</v>
      </c>
      <c r="M19" s="3">
        <f t="shared" si="0"/>
        <v>20</v>
      </c>
      <c r="N19" s="56">
        <v>0</v>
      </c>
      <c r="O19" s="55">
        <f t="shared" si="1"/>
        <v>20</v>
      </c>
    </row>
    <row r="20" spans="1:15" x14ac:dyDescent="0.2">
      <c r="A20" s="13">
        <v>8674</v>
      </c>
      <c r="B20" s="11">
        <v>25</v>
      </c>
      <c r="C20" s="8"/>
      <c r="D20" s="12" t="s">
        <v>114</v>
      </c>
      <c r="E20" s="8"/>
      <c r="F20" s="14">
        <v>-0.4</v>
      </c>
      <c r="G20" s="8"/>
      <c r="L20" s="17">
        <v>12420</v>
      </c>
      <c r="M20" s="3">
        <f t="shared" si="0"/>
        <v>20</v>
      </c>
      <c r="N20" s="56">
        <v>0</v>
      </c>
      <c r="O20" s="55">
        <f t="shared" si="1"/>
        <v>20</v>
      </c>
    </row>
    <row r="21" spans="1:15" x14ac:dyDescent="0.2">
      <c r="A21" s="13">
        <v>8766</v>
      </c>
      <c r="B21" s="11" t="s">
        <v>108</v>
      </c>
      <c r="C21" s="8"/>
      <c r="D21" s="12" t="s">
        <v>114</v>
      </c>
      <c r="E21" s="8"/>
      <c r="F21" s="12" t="s">
        <v>108</v>
      </c>
      <c r="G21" s="8"/>
      <c r="L21" s="17">
        <v>12785</v>
      </c>
      <c r="M21" s="3">
        <f t="shared" si="0"/>
        <v>21</v>
      </c>
      <c r="N21" s="56">
        <v>0</v>
      </c>
      <c r="O21" s="55">
        <f t="shared" si="1"/>
        <v>21</v>
      </c>
    </row>
    <row r="22" spans="1:15" x14ac:dyDescent="0.2">
      <c r="A22" s="13">
        <v>8857</v>
      </c>
      <c r="B22" s="11">
        <v>26</v>
      </c>
      <c r="C22" s="8"/>
      <c r="D22" s="12" t="s">
        <v>114</v>
      </c>
      <c r="E22" s="8"/>
      <c r="F22" s="14">
        <v>3.2</v>
      </c>
      <c r="G22" s="8"/>
      <c r="L22" s="17">
        <v>13150</v>
      </c>
      <c r="M22" s="3">
        <f t="shared" si="0"/>
        <v>21</v>
      </c>
      <c r="N22" s="56">
        <v>0</v>
      </c>
      <c r="O22" s="55">
        <f t="shared" si="1"/>
        <v>21</v>
      </c>
    </row>
    <row r="23" spans="1:15" x14ac:dyDescent="0.2">
      <c r="A23" s="13">
        <v>8948</v>
      </c>
      <c r="B23" s="11" t="s">
        <v>108</v>
      </c>
      <c r="C23" s="8"/>
      <c r="D23" s="12" t="s">
        <v>114</v>
      </c>
      <c r="E23" s="8"/>
      <c r="F23" s="12" t="s">
        <v>108</v>
      </c>
      <c r="G23" s="8"/>
      <c r="L23" s="17">
        <v>13516</v>
      </c>
      <c r="M23" s="3">
        <f t="shared" si="0"/>
        <v>23</v>
      </c>
      <c r="N23" s="56">
        <v>0</v>
      </c>
      <c r="O23" s="55">
        <f t="shared" si="1"/>
        <v>23</v>
      </c>
    </row>
    <row r="24" spans="1:15" x14ac:dyDescent="0.2">
      <c r="A24" s="13">
        <v>9040</v>
      </c>
      <c r="B24" s="11">
        <v>25</v>
      </c>
      <c r="C24" s="8"/>
      <c r="D24" s="12" t="s">
        <v>114</v>
      </c>
      <c r="E24" s="8"/>
      <c r="F24" s="14">
        <v>1.1000000000000001</v>
      </c>
      <c r="G24" s="8"/>
      <c r="L24" s="17">
        <v>13881</v>
      </c>
      <c r="M24" s="3">
        <f t="shared" si="0"/>
        <v>24</v>
      </c>
      <c r="N24" s="56">
        <v>0</v>
      </c>
      <c r="O24" s="55">
        <f t="shared" si="1"/>
        <v>24</v>
      </c>
    </row>
    <row r="25" spans="1:15" x14ac:dyDescent="0.2">
      <c r="A25" s="13">
        <v>9132</v>
      </c>
      <c r="B25" s="11" t="s">
        <v>108</v>
      </c>
      <c r="C25" s="8"/>
      <c r="D25" s="12" t="s">
        <v>114</v>
      </c>
      <c r="E25" s="8"/>
      <c r="F25" s="12" t="s">
        <v>108</v>
      </c>
      <c r="G25" s="8"/>
      <c r="L25" s="17">
        <v>14246</v>
      </c>
      <c r="M25" s="3">
        <f t="shared" si="0"/>
        <v>25</v>
      </c>
      <c r="N25" s="56">
        <v>0</v>
      </c>
      <c r="O25" s="55">
        <f t="shared" si="1"/>
        <v>25</v>
      </c>
    </row>
    <row r="26" spans="1:15" x14ac:dyDescent="0.2">
      <c r="A26" s="13">
        <v>9222</v>
      </c>
      <c r="B26" s="11">
        <v>25</v>
      </c>
      <c r="C26" s="8"/>
      <c r="D26" s="12" t="s">
        <v>114</v>
      </c>
      <c r="E26" s="8"/>
      <c r="F26" s="14">
        <v>-1.5</v>
      </c>
      <c r="G26" s="8"/>
      <c r="L26" s="17">
        <v>14611</v>
      </c>
      <c r="M26" s="3">
        <f t="shared" si="0"/>
        <v>26</v>
      </c>
      <c r="N26" s="56">
        <v>0</v>
      </c>
      <c r="O26" s="55">
        <f t="shared" si="1"/>
        <v>26</v>
      </c>
    </row>
    <row r="27" spans="1:15" x14ac:dyDescent="0.2">
      <c r="A27" s="13">
        <v>9313</v>
      </c>
      <c r="B27" s="11" t="s">
        <v>108</v>
      </c>
      <c r="C27" s="8"/>
      <c r="D27" s="12" t="s">
        <v>114</v>
      </c>
      <c r="E27" s="8"/>
      <c r="F27" s="12" t="s">
        <v>108</v>
      </c>
      <c r="G27" s="8"/>
      <c r="L27" s="17">
        <v>14977</v>
      </c>
      <c r="M27" s="3">
        <f t="shared" si="0"/>
        <v>27</v>
      </c>
      <c r="N27" s="56">
        <v>0</v>
      </c>
      <c r="O27" s="55">
        <f t="shared" si="1"/>
        <v>27</v>
      </c>
    </row>
    <row r="28" spans="1:15" x14ac:dyDescent="0.2">
      <c r="A28" s="13">
        <v>9405</v>
      </c>
      <c r="B28" s="11">
        <v>26</v>
      </c>
      <c r="C28" s="8"/>
      <c r="D28" s="12" t="s">
        <v>108</v>
      </c>
      <c r="E28" s="8"/>
      <c r="F28" s="14">
        <v>1.8</v>
      </c>
      <c r="G28" s="8"/>
      <c r="L28" s="17">
        <v>15342</v>
      </c>
      <c r="M28" s="3">
        <f t="shared" si="0"/>
        <v>27</v>
      </c>
      <c r="N28" s="56">
        <v>0</v>
      </c>
      <c r="O28" s="55">
        <f t="shared" si="1"/>
        <v>27</v>
      </c>
    </row>
    <row r="29" spans="1:15" x14ac:dyDescent="0.2">
      <c r="A29" s="13">
        <v>9497</v>
      </c>
      <c r="B29" s="11">
        <v>26</v>
      </c>
      <c r="C29" s="8"/>
      <c r="D29" s="14">
        <v>0.3</v>
      </c>
      <c r="E29" s="8"/>
      <c r="F29" s="12" t="s">
        <v>108</v>
      </c>
      <c r="G29" s="8"/>
      <c r="L29" s="17">
        <v>15707</v>
      </c>
      <c r="M29" s="3">
        <f t="shared" si="0"/>
        <v>29</v>
      </c>
      <c r="N29" s="56">
        <v>0</v>
      </c>
      <c r="O29" s="55">
        <f t="shared" si="1"/>
        <v>29</v>
      </c>
    </row>
    <row r="30" spans="1:15" x14ac:dyDescent="0.2">
      <c r="A30" s="13">
        <v>9587</v>
      </c>
      <c r="B30" s="11">
        <v>26</v>
      </c>
      <c r="C30" s="8"/>
      <c r="D30" s="14">
        <v>-0.7</v>
      </c>
      <c r="E30" s="8"/>
      <c r="F30" s="14">
        <v>1.8</v>
      </c>
      <c r="G30" s="8"/>
      <c r="L30" s="17">
        <v>16072</v>
      </c>
      <c r="M30" s="3">
        <f t="shared" si="0"/>
        <v>29</v>
      </c>
      <c r="N30" s="56">
        <v>0</v>
      </c>
      <c r="O30" s="55">
        <f t="shared" si="1"/>
        <v>29</v>
      </c>
    </row>
    <row r="31" spans="1:15" x14ac:dyDescent="0.2">
      <c r="A31" s="13">
        <v>9678</v>
      </c>
      <c r="B31" s="11">
        <v>26</v>
      </c>
      <c r="C31" s="8"/>
      <c r="D31" s="14">
        <v>0.4</v>
      </c>
      <c r="E31" s="8"/>
      <c r="F31" s="12" t="s">
        <v>108</v>
      </c>
      <c r="G31" s="8"/>
      <c r="L31" s="17">
        <v>16438</v>
      </c>
      <c r="M31" s="3">
        <f t="shared" si="0"/>
        <v>30</v>
      </c>
      <c r="N31" s="56">
        <v>0</v>
      </c>
      <c r="O31" s="55">
        <f t="shared" si="1"/>
        <v>30</v>
      </c>
    </row>
    <row r="32" spans="1:15" x14ac:dyDescent="0.2">
      <c r="A32" s="13">
        <v>9770</v>
      </c>
      <c r="B32" s="11">
        <v>26</v>
      </c>
      <c r="C32" s="8"/>
      <c r="D32" s="14">
        <v>0.1</v>
      </c>
      <c r="E32" s="8"/>
      <c r="F32" s="14">
        <v>0.1</v>
      </c>
      <c r="G32" s="8"/>
      <c r="L32" s="17">
        <v>16803</v>
      </c>
      <c r="M32" s="3">
        <f t="shared" si="0"/>
        <v>30</v>
      </c>
      <c r="N32" s="56">
        <v>0</v>
      </c>
      <c r="O32" s="55">
        <f t="shared" si="1"/>
        <v>30</v>
      </c>
    </row>
    <row r="33" spans="1:15" x14ac:dyDescent="0.2">
      <c r="A33" s="13">
        <v>9862</v>
      </c>
      <c r="B33" s="11">
        <v>26</v>
      </c>
      <c r="C33" s="8"/>
      <c r="D33" s="14">
        <v>-0.4</v>
      </c>
      <c r="E33" s="8"/>
      <c r="F33" s="14">
        <v>-0.6</v>
      </c>
      <c r="G33" s="8"/>
      <c r="L33" s="17">
        <v>17168</v>
      </c>
      <c r="M33" s="3">
        <f t="shared" si="0"/>
        <v>30</v>
      </c>
      <c r="N33" s="56">
        <v>0</v>
      </c>
      <c r="O33" s="55">
        <f t="shared" si="1"/>
        <v>30</v>
      </c>
    </row>
    <row r="34" spans="1:15" x14ac:dyDescent="0.2">
      <c r="A34" s="13">
        <v>9952</v>
      </c>
      <c r="B34" s="11">
        <v>26</v>
      </c>
      <c r="C34" s="8"/>
      <c r="D34" s="14">
        <v>-0.2</v>
      </c>
      <c r="E34" s="8"/>
      <c r="F34" s="14">
        <v>-0.1</v>
      </c>
      <c r="G34" s="8"/>
      <c r="L34" s="17">
        <v>17533</v>
      </c>
      <c r="M34" s="3">
        <f t="shared" si="0"/>
        <v>33</v>
      </c>
      <c r="N34" s="56">
        <v>0</v>
      </c>
      <c r="O34" s="55">
        <f t="shared" si="1"/>
        <v>33</v>
      </c>
    </row>
    <row r="35" spans="1:15" x14ac:dyDescent="0.2">
      <c r="A35" s="13">
        <v>10043</v>
      </c>
      <c r="B35" s="11">
        <v>26</v>
      </c>
      <c r="C35" s="8"/>
      <c r="D35" s="14">
        <v>-0.4</v>
      </c>
      <c r="E35" s="8"/>
      <c r="F35" s="14">
        <v>-0.9</v>
      </c>
      <c r="G35" s="8"/>
      <c r="L35" s="17">
        <v>17899</v>
      </c>
      <c r="M35" s="3">
        <f t="shared" si="0"/>
        <v>34</v>
      </c>
      <c r="N35" s="56">
        <v>0</v>
      </c>
      <c r="O35" s="55">
        <f t="shared" si="1"/>
        <v>34</v>
      </c>
    </row>
    <row r="36" spans="1:15" x14ac:dyDescent="0.2">
      <c r="A36" s="13">
        <v>10135</v>
      </c>
      <c r="B36" s="11">
        <v>25</v>
      </c>
      <c r="C36" s="8"/>
      <c r="D36" s="14">
        <v>-0.4</v>
      </c>
      <c r="E36" s="8"/>
      <c r="F36" s="14">
        <v>-1.4</v>
      </c>
      <c r="G36" s="8"/>
      <c r="L36" s="17">
        <v>18264</v>
      </c>
      <c r="M36" s="3">
        <f t="shared" si="0"/>
        <v>34</v>
      </c>
      <c r="N36" s="56">
        <v>0</v>
      </c>
      <c r="O36" s="55">
        <f t="shared" si="1"/>
        <v>34</v>
      </c>
    </row>
    <row r="37" spans="1:15" x14ac:dyDescent="0.2">
      <c r="A37" s="13">
        <v>10227</v>
      </c>
      <c r="B37" s="11">
        <v>25</v>
      </c>
      <c r="C37" s="8"/>
      <c r="D37" s="14">
        <v>0.1</v>
      </c>
      <c r="E37" s="8"/>
      <c r="F37" s="14">
        <v>-0.9</v>
      </c>
      <c r="G37" s="8"/>
      <c r="L37" s="17">
        <v>18629</v>
      </c>
      <c r="M37" s="3">
        <f t="shared" si="0"/>
        <v>38</v>
      </c>
      <c r="N37" s="56">
        <v>0</v>
      </c>
      <c r="O37" s="55">
        <f t="shared" si="1"/>
        <v>38</v>
      </c>
    </row>
    <row r="38" spans="1:15" x14ac:dyDescent="0.2">
      <c r="A38" s="13">
        <v>10318</v>
      </c>
      <c r="B38" s="11">
        <v>25</v>
      </c>
      <c r="C38" s="8"/>
      <c r="D38" s="12" t="s">
        <v>108</v>
      </c>
      <c r="E38" s="8"/>
      <c r="F38" s="14">
        <v>-0.7</v>
      </c>
      <c r="G38" s="8"/>
      <c r="L38" s="17">
        <v>18994</v>
      </c>
      <c r="M38" s="3">
        <f t="shared" si="0"/>
        <v>42</v>
      </c>
      <c r="N38" s="56">
        <v>0</v>
      </c>
      <c r="O38" s="55">
        <f t="shared" si="1"/>
        <v>42</v>
      </c>
    </row>
    <row r="39" spans="1:15" x14ac:dyDescent="0.2">
      <c r="A39" s="13">
        <v>10409</v>
      </c>
      <c r="B39" s="11">
        <v>26</v>
      </c>
      <c r="C39" s="8"/>
      <c r="D39" s="14">
        <v>0.6</v>
      </c>
      <c r="E39" s="8"/>
      <c r="F39" s="14">
        <v>0.2</v>
      </c>
      <c r="G39" s="8"/>
      <c r="L39" s="17">
        <v>19360</v>
      </c>
      <c r="M39" s="3">
        <f t="shared" si="0"/>
        <v>44</v>
      </c>
      <c r="N39" s="56">
        <v>0</v>
      </c>
      <c r="O39" s="55">
        <f t="shared" si="1"/>
        <v>44</v>
      </c>
    </row>
    <row r="40" spans="1:15" x14ac:dyDescent="0.2">
      <c r="A40" s="13">
        <v>10501</v>
      </c>
      <c r="B40" s="11">
        <v>25</v>
      </c>
      <c r="C40" s="8"/>
      <c r="D40" s="14">
        <v>-0.5</v>
      </c>
      <c r="E40" s="8"/>
      <c r="F40" s="14">
        <v>0.2</v>
      </c>
      <c r="G40" s="8"/>
      <c r="L40" s="17">
        <v>19725</v>
      </c>
      <c r="M40" s="3">
        <f t="shared" si="0"/>
        <v>46</v>
      </c>
      <c r="N40" s="56">
        <v>0</v>
      </c>
      <c r="O40" s="55">
        <f t="shared" si="1"/>
        <v>46</v>
      </c>
    </row>
    <row r="41" spans="1:15" x14ac:dyDescent="0.2">
      <c r="A41" s="13">
        <v>10593</v>
      </c>
      <c r="B41" s="11">
        <v>26</v>
      </c>
      <c r="C41" s="8"/>
      <c r="D41" s="14">
        <v>0.5</v>
      </c>
      <c r="E41" s="8"/>
      <c r="F41" s="14">
        <v>0.6</v>
      </c>
      <c r="G41" s="8"/>
      <c r="L41" s="17">
        <v>20090</v>
      </c>
      <c r="M41" s="3">
        <f t="shared" si="0"/>
        <v>48</v>
      </c>
      <c r="N41" s="56">
        <v>0</v>
      </c>
      <c r="O41" s="55">
        <f t="shared" si="1"/>
        <v>48</v>
      </c>
    </row>
    <row r="42" spans="1:15" x14ac:dyDescent="0.2">
      <c r="A42" s="13">
        <v>10683</v>
      </c>
      <c r="B42" s="11">
        <v>25</v>
      </c>
      <c r="C42" s="8"/>
      <c r="D42" s="14">
        <v>-0.6</v>
      </c>
      <c r="E42" s="8"/>
      <c r="F42" s="14">
        <v>0.1</v>
      </c>
      <c r="G42" s="8"/>
      <c r="L42" s="17">
        <v>20455</v>
      </c>
      <c r="M42" s="3">
        <f t="shared" si="0"/>
        <v>49</v>
      </c>
      <c r="N42" s="56">
        <v>0</v>
      </c>
      <c r="O42" s="55">
        <f t="shared" si="1"/>
        <v>49</v>
      </c>
    </row>
    <row r="43" spans="1:15" x14ac:dyDescent="0.2">
      <c r="A43" s="13">
        <v>10774</v>
      </c>
      <c r="B43" s="11">
        <v>25</v>
      </c>
      <c r="C43" s="8"/>
      <c r="D43" s="14">
        <v>-0.2</v>
      </c>
      <c r="E43" s="8"/>
      <c r="F43" s="14">
        <v>-0.7</v>
      </c>
      <c r="G43" s="8"/>
      <c r="L43" s="17">
        <v>20821</v>
      </c>
      <c r="M43" s="3">
        <f t="shared" si="0"/>
        <v>50</v>
      </c>
      <c r="N43" s="56">
        <v>0</v>
      </c>
      <c r="O43" s="55">
        <f t="shared" si="1"/>
        <v>50</v>
      </c>
    </row>
    <row r="44" spans="1:15" x14ac:dyDescent="0.2">
      <c r="A44" s="13">
        <v>10866</v>
      </c>
      <c r="B44" s="11">
        <v>25</v>
      </c>
      <c r="C44" s="8"/>
      <c r="D44" s="14">
        <v>0.3</v>
      </c>
      <c r="E44" s="8"/>
      <c r="F44" s="14">
        <v>0</v>
      </c>
      <c r="G44" s="8"/>
      <c r="L44" s="17">
        <v>21186</v>
      </c>
      <c r="M44" s="3">
        <f t="shared" si="0"/>
        <v>51</v>
      </c>
      <c r="N44" s="56">
        <v>0</v>
      </c>
      <c r="O44" s="55">
        <f t="shared" si="1"/>
        <v>51</v>
      </c>
    </row>
    <row r="45" spans="1:15" x14ac:dyDescent="0.2">
      <c r="A45" s="13">
        <v>10958</v>
      </c>
      <c r="B45" s="11">
        <v>25</v>
      </c>
      <c r="C45" s="8"/>
      <c r="D45" s="12" t="s">
        <v>108</v>
      </c>
      <c r="E45" s="8"/>
      <c r="F45" s="14">
        <v>-0.5</v>
      </c>
      <c r="G45" s="8"/>
      <c r="L45" s="17">
        <v>21551</v>
      </c>
      <c r="M45" s="3">
        <f t="shared" si="0"/>
        <v>55</v>
      </c>
      <c r="N45" s="56">
        <v>0</v>
      </c>
      <c r="O45" s="55">
        <f t="shared" si="1"/>
        <v>55</v>
      </c>
    </row>
    <row r="46" spans="1:15" x14ac:dyDescent="0.2">
      <c r="A46" s="13">
        <v>11048</v>
      </c>
      <c r="B46" s="11">
        <v>25</v>
      </c>
      <c r="C46" s="8"/>
      <c r="D46" s="14">
        <v>-0.7</v>
      </c>
      <c r="E46" s="8"/>
      <c r="F46" s="14">
        <v>-0.6</v>
      </c>
      <c r="G46" s="8"/>
      <c r="L46" s="17">
        <v>21916</v>
      </c>
      <c r="M46" s="3">
        <f t="shared" si="0"/>
        <v>55</v>
      </c>
      <c r="N46" s="56">
        <v>0</v>
      </c>
      <c r="O46" s="55">
        <f t="shared" si="1"/>
        <v>55</v>
      </c>
    </row>
    <row r="47" spans="1:15" x14ac:dyDescent="0.2">
      <c r="A47" s="13">
        <v>11139</v>
      </c>
      <c r="B47" s="11">
        <v>25</v>
      </c>
      <c r="C47" s="8"/>
      <c r="D47" s="14">
        <v>-0.6</v>
      </c>
      <c r="E47" s="8"/>
      <c r="F47" s="14">
        <v>-1</v>
      </c>
      <c r="G47" s="8"/>
      <c r="L47" s="17">
        <v>22282</v>
      </c>
      <c r="M47" s="3">
        <f t="shared" si="0"/>
        <v>56</v>
      </c>
      <c r="N47" s="56">
        <v>0</v>
      </c>
      <c r="O47" s="55">
        <f t="shared" si="1"/>
        <v>56</v>
      </c>
    </row>
    <row r="48" spans="1:15" x14ac:dyDescent="0.2">
      <c r="A48" s="13">
        <v>11231</v>
      </c>
      <c r="B48" s="11">
        <v>25</v>
      </c>
      <c r="C48" s="8"/>
      <c r="D48" s="14">
        <v>-1</v>
      </c>
      <c r="E48" s="8"/>
      <c r="F48" s="14">
        <v>-2.2999999999999998</v>
      </c>
      <c r="G48" s="8"/>
      <c r="L48" s="17">
        <v>22647</v>
      </c>
      <c r="M48" s="3">
        <f t="shared" si="0"/>
        <v>58</v>
      </c>
      <c r="N48" s="56">
        <v>0</v>
      </c>
      <c r="O48" s="55">
        <f t="shared" si="1"/>
        <v>58</v>
      </c>
    </row>
    <row r="49" spans="1:15" x14ac:dyDescent="0.2">
      <c r="A49" s="13">
        <v>11323</v>
      </c>
      <c r="B49" s="11">
        <v>24</v>
      </c>
      <c r="C49" s="8"/>
      <c r="D49" s="14">
        <v>-1.7</v>
      </c>
      <c r="E49" s="8"/>
      <c r="F49" s="14">
        <v>-4</v>
      </c>
      <c r="G49" s="8"/>
      <c r="L49" s="17">
        <v>23012</v>
      </c>
      <c r="M49" s="3">
        <f t="shared" si="0"/>
        <v>59</v>
      </c>
      <c r="N49" s="56">
        <v>0</v>
      </c>
      <c r="O49" s="55">
        <f t="shared" si="1"/>
        <v>59</v>
      </c>
    </row>
    <row r="50" spans="1:15" x14ac:dyDescent="0.2">
      <c r="A50" s="13">
        <v>11413</v>
      </c>
      <c r="B50" s="11">
        <v>24</v>
      </c>
      <c r="C50" s="8"/>
      <c r="D50" s="14">
        <v>-3.2</v>
      </c>
      <c r="E50" s="8"/>
      <c r="F50" s="14">
        <v>-6.4</v>
      </c>
      <c r="G50" s="8"/>
      <c r="L50" s="17">
        <v>23377</v>
      </c>
      <c r="M50" s="3">
        <f t="shared" si="0"/>
        <v>60</v>
      </c>
      <c r="N50" s="56">
        <v>0</v>
      </c>
      <c r="O50" s="55">
        <f t="shared" si="1"/>
        <v>60</v>
      </c>
    </row>
    <row r="51" spans="1:15" x14ac:dyDescent="0.2">
      <c r="A51" s="13">
        <v>11504</v>
      </c>
      <c r="B51" s="11">
        <v>23</v>
      </c>
      <c r="C51" s="8"/>
      <c r="D51" s="14">
        <v>-2</v>
      </c>
      <c r="E51" s="8"/>
      <c r="F51" s="14">
        <v>-7.8</v>
      </c>
      <c r="G51" s="8"/>
      <c r="L51" s="17">
        <v>23743</v>
      </c>
      <c r="M51" s="3">
        <f t="shared" si="0"/>
        <v>63</v>
      </c>
      <c r="N51" s="56">
        <v>0</v>
      </c>
      <c r="O51" s="55">
        <f t="shared" si="1"/>
        <v>63</v>
      </c>
    </row>
    <row r="52" spans="1:15" x14ac:dyDescent="0.2">
      <c r="A52" s="13">
        <v>11596</v>
      </c>
      <c r="B52" s="11">
        <v>23</v>
      </c>
      <c r="C52" s="8"/>
      <c r="D52" s="14">
        <v>-2.4</v>
      </c>
      <c r="E52" s="8"/>
      <c r="F52" s="14">
        <v>-9.1</v>
      </c>
      <c r="G52" s="8"/>
      <c r="L52" s="17">
        <v>24108</v>
      </c>
      <c r="M52" s="3">
        <f t="shared" si="0"/>
        <v>64</v>
      </c>
      <c r="N52" s="56">
        <v>0</v>
      </c>
      <c r="O52" s="55">
        <f t="shared" si="1"/>
        <v>64</v>
      </c>
    </row>
    <row r="53" spans="1:15" x14ac:dyDescent="0.2">
      <c r="A53" s="13">
        <v>11688</v>
      </c>
      <c r="B53" s="11">
        <v>23</v>
      </c>
      <c r="C53" s="8"/>
      <c r="D53" s="14">
        <v>-0.3</v>
      </c>
      <c r="E53" s="8"/>
      <c r="F53" s="14">
        <v>-7.8</v>
      </c>
      <c r="G53" s="8"/>
      <c r="L53" s="17">
        <v>24473</v>
      </c>
      <c r="M53" s="3">
        <f t="shared" si="0"/>
        <v>67</v>
      </c>
      <c r="N53" s="56">
        <v>0</v>
      </c>
      <c r="O53" s="55">
        <f t="shared" si="1"/>
        <v>67</v>
      </c>
    </row>
    <row r="54" spans="1:15" x14ac:dyDescent="0.2">
      <c r="A54" s="13">
        <v>11779</v>
      </c>
      <c r="B54" s="11">
        <v>22</v>
      </c>
      <c r="C54" s="8"/>
      <c r="D54" s="14">
        <v>-1.5</v>
      </c>
      <c r="E54" s="8"/>
      <c r="F54" s="14">
        <v>-6.1</v>
      </c>
      <c r="G54" s="8"/>
      <c r="L54" s="17">
        <v>24838</v>
      </c>
      <c r="M54" s="3">
        <f t="shared" si="0"/>
        <v>71</v>
      </c>
      <c r="N54" s="56">
        <v>0</v>
      </c>
      <c r="O54" s="55">
        <f t="shared" si="1"/>
        <v>71</v>
      </c>
    </row>
    <row r="55" spans="1:15" x14ac:dyDescent="0.2">
      <c r="A55" s="13">
        <v>11870</v>
      </c>
      <c r="B55" s="11">
        <v>21</v>
      </c>
      <c r="C55" s="8"/>
      <c r="D55" s="14">
        <v>-4.0999999999999996</v>
      </c>
      <c r="E55" s="8"/>
      <c r="F55" s="14">
        <v>-8.1</v>
      </c>
      <c r="G55" s="8"/>
      <c r="L55" s="17">
        <v>25204</v>
      </c>
      <c r="M55" s="3">
        <f t="shared" si="0"/>
        <v>74</v>
      </c>
      <c r="N55" s="56">
        <v>0</v>
      </c>
      <c r="O55" s="55">
        <f t="shared" si="1"/>
        <v>74</v>
      </c>
    </row>
    <row r="56" spans="1:15" x14ac:dyDescent="0.2">
      <c r="A56" s="13">
        <v>11962</v>
      </c>
      <c r="B56" s="11">
        <v>21</v>
      </c>
      <c r="C56" s="8"/>
      <c r="D56" s="14">
        <v>-2.1</v>
      </c>
      <c r="E56" s="8"/>
      <c r="F56" s="14">
        <v>-7.9</v>
      </c>
      <c r="G56" s="8"/>
      <c r="L56" s="17">
        <v>25569</v>
      </c>
      <c r="M56" s="3">
        <f t="shared" si="0"/>
        <v>78</v>
      </c>
      <c r="N56" s="56">
        <v>0</v>
      </c>
      <c r="O56" s="55">
        <f t="shared" si="1"/>
        <v>78</v>
      </c>
    </row>
    <row r="57" spans="1:15" x14ac:dyDescent="0.2">
      <c r="A57" s="13">
        <v>12054</v>
      </c>
      <c r="B57" s="11">
        <v>20</v>
      </c>
      <c r="C57" s="8"/>
      <c r="D57" s="14">
        <v>-1.8</v>
      </c>
      <c r="E57" s="8"/>
      <c r="F57" s="14">
        <v>-9.1999999999999993</v>
      </c>
      <c r="G57" s="8"/>
      <c r="L57" s="17">
        <v>25934</v>
      </c>
      <c r="M57" s="3">
        <f t="shared" si="0"/>
        <v>86</v>
      </c>
      <c r="N57" s="56">
        <v>0</v>
      </c>
      <c r="O57" s="55">
        <f t="shared" si="1"/>
        <v>86</v>
      </c>
    </row>
    <row r="58" spans="1:15" x14ac:dyDescent="0.2">
      <c r="A58" s="13">
        <v>12144</v>
      </c>
      <c r="B58" s="11">
        <v>20</v>
      </c>
      <c r="C58" s="8"/>
      <c r="D58" s="14">
        <v>-1.1000000000000001</v>
      </c>
      <c r="E58" s="8"/>
      <c r="F58" s="14">
        <v>-8.9</v>
      </c>
      <c r="G58" s="8"/>
      <c r="L58" s="17">
        <v>26299</v>
      </c>
      <c r="M58" s="3">
        <f t="shared" si="0"/>
        <v>93</v>
      </c>
      <c r="N58" s="56">
        <v>0</v>
      </c>
      <c r="O58" s="55">
        <f t="shared" si="1"/>
        <v>93</v>
      </c>
    </row>
    <row r="59" spans="1:15" x14ac:dyDescent="0.2">
      <c r="A59" s="13">
        <v>12235</v>
      </c>
      <c r="B59" s="11">
        <v>20</v>
      </c>
      <c r="C59" s="8"/>
      <c r="D59" s="14">
        <v>-0.1</v>
      </c>
      <c r="E59" s="8"/>
      <c r="F59" s="14">
        <v>-5.0999999999999996</v>
      </c>
      <c r="G59" s="8"/>
      <c r="L59" s="17">
        <v>26665</v>
      </c>
      <c r="M59" s="3">
        <f t="shared" si="0"/>
        <v>99</v>
      </c>
      <c r="N59" s="56">
        <v>0</v>
      </c>
      <c r="O59" s="4">
        <f t="shared" si="1"/>
        <v>99</v>
      </c>
    </row>
    <row r="60" spans="1:15" x14ac:dyDescent="0.2">
      <c r="A60" s="13">
        <v>12327</v>
      </c>
      <c r="B60" s="11">
        <v>20</v>
      </c>
      <c r="C60" s="8"/>
      <c r="D60" s="12" t="s">
        <v>108</v>
      </c>
      <c r="E60" s="8"/>
      <c r="F60" s="14">
        <v>-3</v>
      </c>
      <c r="G60" s="8"/>
      <c r="L60" s="17">
        <v>27030</v>
      </c>
      <c r="M60" s="3">
        <f t="shared" si="0"/>
        <v>109</v>
      </c>
      <c r="N60" s="56">
        <v>0</v>
      </c>
      <c r="O60" s="4">
        <f t="shared" si="1"/>
        <v>109</v>
      </c>
    </row>
    <row r="61" spans="1:15" x14ac:dyDescent="0.2">
      <c r="A61" s="13">
        <v>12419</v>
      </c>
      <c r="B61" s="11">
        <v>20</v>
      </c>
      <c r="C61" s="8"/>
      <c r="D61" s="14">
        <v>0.5</v>
      </c>
      <c r="E61" s="8"/>
      <c r="F61" s="14">
        <v>-0.7</v>
      </c>
      <c r="G61" s="8"/>
      <c r="L61" s="17">
        <v>27395</v>
      </c>
      <c r="M61" s="3">
        <f t="shared" si="0"/>
        <v>123</v>
      </c>
      <c r="N61" s="56">
        <v>0</v>
      </c>
      <c r="O61" s="4">
        <f t="shared" si="1"/>
        <v>123</v>
      </c>
    </row>
    <row r="62" spans="1:15" x14ac:dyDescent="0.2">
      <c r="A62" s="13">
        <v>12509</v>
      </c>
      <c r="B62" s="11">
        <v>20</v>
      </c>
      <c r="C62" s="8"/>
      <c r="D62" s="14">
        <v>0.5</v>
      </c>
      <c r="E62" s="8"/>
      <c r="F62" s="14">
        <v>0.9</v>
      </c>
      <c r="G62" s="8"/>
      <c r="L62" s="17">
        <v>27760</v>
      </c>
      <c r="M62" s="3">
        <f t="shared" si="0"/>
        <v>145</v>
      </c>
      <c r="N62" s="56">
        <v>0</v>
      </c>
      <c r="O62" s="4">
        <f t="shared" si="1"/>
        <v>145</v>
      </c>
    </row>
    <row r="63" spans="1:15" x14ac:dyDescent="0.2">
      <c r="A63" s="13">
        <v>12600</v>
      </c>
      <c r="B63" s="11">
        <v>21</v>
      </c>
      <c r="C63" s="8"/>
      <c r="D63" s="14">
        <v>1</v>
      </c>
      <c r="E63" s="8"/>
      <c r="F63" s="14">
        <v>2</v>
      </c>
      <c r="G63" s="8"/>
      <c r="L63" s="17">
        <v>28126</v>
      </c>
      <c r="M63" s="3">
        <f t="shared" si="0"/>
        <v>164</v>
      </c>
      <c r="N63" s="56">
        <v>0</v>
      </c>
      <c r="O63" s="4">
        <f t="shared" si="1"/>
        <v>164</v>
      </c>
    </row>
    <row r="64" spans="1:15" x14ac:dyDescent="0.2">
      <c r="A64" s="13">
        <v>12692</v>
      </c>
      <c r="B64" s="11">
        <v>20</v>
      </c>
      <c r="C64" s="8"/>
      <c r="D64" s="14">
        <v>-0.6</v>
      </c>
      <c r="E64" s="8"/>
      <c r="F64" s="14">
        <v>1.4</v>
      </c>
      <c r="G64" s="8"/>
      <c r="L64" s="17">
        <v>28491</v>
      </c>
      <c r="M64" s="3">
        <f t="shared" si="0"/>
        <v>188</v>
      </c>
      <c r="N64" s="56">
        <v>0</v>
      </c>
      <c r="O64" s="4">
        <f t="shared" si="1"/>
        <v>188</v>
      </c>
    </row>
    <row r="65" spans="1:15" x14ac:dyDescent="0.2">
      <c r="A65" s="13">
        <v>12784</v>
      </c>
      <c r="B65" s="11">
        <v>21</v>
      </c>
      <c r="C65" s="8"/>
      <c r="D65" s="14">
        <v>0.4</v>
      </c>
      <c r="E65" s="8"/>
      <c r="F65" s="14">
        <v>1.3</v>
      </c>
      <c r="G65" s="8"/>
      <c r="L65" s="17">
        <v>28856</v>
      </c>
      <c r="M65" s="3">
        <f t="shared" si="0"/>
        <v>208</v>
      </c>
      <c r="N65" s="56">
        <v>0</v>
      </c>
      <c r="O65" s="4">
        <f t="shared" si="1"/>
        <v>208</v>
      </c>
    </row>
    <row r="66" spans="1:15" x14ac:dyDescent="0.2">
      <c r="A66" s="13">
        <v>12874</v>
      </c>
      <c r="B66" s="11">
        <v>21</v>
      </c>
      <c r="C66" s="8"/>
      <c r="D66" s="14">
        <v>2</v>
      </c>
      <c r="E66" s="8"/>
      <c r="F66" s="14">
        <v>2.7</v>
      </c>
      <c r="G66" s="8"/>
      <c r="L66" s="17">
        <v>29221</v>
      </c>
      <c r="M66" s="3">
        <f t="shared" si="0"/>
        <v>246</v>
      </c>
      <c r="N66" s="56">
        <v>0</v>
      </c>
      <c r="O66" s="4">
        <f t="shared" si="1"/>
        <v>246</v>
      </c>
    </row>
    <row r="67" spans="1:15" x14ac:dyDescent="0.2">
      <c r="A67" s="13">
        <v>12965</v>
      </c>
      <c r="B67" s="11">
        <v>21</v>
      </c>
      <c r="C67" s="8"/>
      <c r="D67" s="14">
        <v>1.1000000000000001</v>
      </c>
      <c r="E67" s="8"/>
      <c r="F67" s="14">
        <v>2.8</v>
      </c>
      <c r="G67" s="8"/>
      <c r="L67" s="17">
        <v>29587</v>
      </c>
      <c r="M67" s="3">
        <f t="shared" si="0"/>
        <v>284</v>
      </c>
      <c r="N67" s="56">
        <v>0</v>
      </c>
      <c r="O67" s="4">
        <f t="shared" si="1"/>
        <v>284</v>
      </c>
    </row>
    <row r="68" spans="1:15" x14ac:dyDescent="0.2">
      <c r="A68" s="13">
        <v>13057</v>
      </c>
      <c r="B68" s="11">
        <v>21</v>
      </c>
      <c r="C68" s="8"/>
      <c r="D68" s="14">
        <v>0.4</v>
      </c>
      <c r="E68" s="8"/>
      <c r="F68" s="14">
        <v>3.8</v>
      </c>
      <c r="G68" s="8"/>
      <c r="L68" s="17">
        <v>29952</v>
      </c>
      <c r="M68" s="3">
        <f t="shared" si="0"/>
        <v>328</v>
      </c>
      <c r="N68" s="56">
        <v>0</v>
      </c>
      <c r="O68" s="4">
        <f t="shared" si="1"/>
        <v>328</v>
      </c>
    </row>
    <row r="69" spans="1:15" x14ac:dyDescent="0.2">
      <c r="A69" s="13">
        <v>13149</v>
      </c>
      <c r="B69" s="11">
        <v>22</v>
      </c>
      <c r="C69" s="8"/>
      <c r="D69" s="14">
        <v>2</v>
      </c>
      <c r="E69" s="8"/>
      <c r="F69" s="14">
        <v>5.6</v>
      </c>
      <c r="G69" s="8"/>
      <c r="L69" s="17">
        <v>30317</v>
      </c>
      <c r="M69" s="3">
        <f t="shared" si="0"/>
        <v>370</v>
      </c>
      <c r="N69" s="56">
        <v>0</v>
      </c>
      <c r="O69" s="4">
        <f t="shared" si="1"/>
        <v>370</v>
      </c>
    </row>
    <row r="70" spans="1:15" x14ac:dyDescent="0.2">
      <c r="A70" s="13">
        <v>13240</v>
      </c>
      <c r="B70" s="11">
        <v>21</v>
      </c>
      <c r="C70" s="8"/>
      <c r="D70" s="14">
        <v>-1.8</v>
      </c>
      <c r="E70" s="8"/>
      <c r="F70" s="14">
        <v>1.7</v>
      </c>
      <c r="G70" s="8"/>
      <c r="L70" s="17">
        <v>30682</v>
      </c>
      <c r="M70" s="3">
        <f t="shared" si="0"/>
        <v>383</v>
      </c>
      <c r="N70" s="56">
        <v>0</v>
      </c>
      <c r="O70" s="4">
        <f t="shared" si="1"/>
        <v>383</v>
      </c>
    </row>
    <row r="71" spans="1:15" x14ac:dyDescent="0.2">
      <c r="A71" s="13">
        <v>13331</v>
      </c>
      <c r="B71" s="11">
        <v>22</v>
      </c>
      <c r="C71" s="8"/>
      <c r="D71" s="14">
        <v>1.9</v>
      </c>
      <c r="E71" s="8"/>
      <c r="F71" s="14">
        <v>2.5</v>
      </c>
      <c r="G71" s="8"/>
      <c r="L71" s="17">
        <v>31048</v>
      </c>
      <c r="M71" s="3">
        <f t="shared" ref="M71:M99" si="2">VLOOKUP(EOMONTH(L71,MONTH(L$3)-1),$A$6:$B$378,2,FALSE)</f>
        <v>434</v>
      </c>
      <c r="N71" s="56">
        <v>0</v>
      </c>
      <c r="O71" s="4">
        <f t="shared" ref="O71:O99" si="3">M71/(1+N71)</f>
        <v>434</v>
      </c>
    </row>
    <row r="72" spans="1:15" x14ac:dyDescent="0.2">
      <c r="A72" s="13">
        <v>13423</v>
      </c>
      <c r="B72" s="11">
        <v>22</v>
      </c>
      <c r="C72" s="8"/>
      <c r="D72" s="14">
        <v>1.6</v>
      </c>
      <c r="E72" s="8"/>
      <c r="F72" s="14">
        <v>3.8</v>
      </c>
      <c r="G72" s="8"/>
      <c r="L72" s="17">
        <v>31413</v>
      </c>
      <c r="M72" s="3">
        <f t="shared" si="2"/>
        <v>490</v>
      </c>
      <c r="N72" s="56">
        <v>0</v>
      </c>
      <c r="O72" s="4">
        <f t="shared" si="3"/>
        <v>490</v>
      </c>
    </row>
    <row r="73" spans="1:15" x14ac:dyDescent="0.2">
      <c r="A73" s="13">
        <v>13515</v>
      </c>
      <c r="B73" s="11">
        <v>22</v>
      </c>
      <c r="C73" s="8"/>
      <c r="D73" s="14">
        <v>1.5</v>
      </c>
      <c r="E73" s="8"/>
      <c r="F73" s="14">
        <v>3.3</v>
      </c>
      <c r="G73" s="8"/>
      <c r="L73" s="17">
        <v>31778</v>
      </c>
      <c r="M73" s="3">
        <f t="shared" si="2"/>
        <v>580</v>
      </c>
      <c r="N73" s="56">
        <f>10%/2</f>
        <v>0.05</v>
      </c>
      <c r="O73" s="4">
        <f t="shared" si="3"/>
        <v>552.38095238095241</v>
      </c>
    </row>
    <row r="74" spans="1:15" x14ac:dyDescent="0.2">
      <c r="A74" s="13">
        <v>13605</v>
      </c>
      <c r="B74" s="11">
        <v>23</v>
      </c>
      <c r="C74" s="8"/>
      <c r="D74" s="14">
        <v>1.7</v>
      </c>
      <c r="E74" s="8"/>
      <c r="F74" s="14">
        <v>6.9</v>
      </c>
      <c r="G74" s="8"/>
      <c r="L74" s="17">
        <v>32143</v>
      </c>
      <c r="M74" s="3">
        <f t="shared" si="2"/>
        <v>632</v>
      </c>
      <c r="N74" s="56">
        <v>0.1</v>
      </c>
      <c r="O74" s="4">
        <f t="shared" si="3"/>
        <v>574.5454545454545</v>
      </c>
    </row>
    <row r="75" spans="1:15" x14ac:dyDescent="0.2">
      <c r="A75" s="13">
        <v>13696</v>
      </c>
      <c r="B75" s="11">
        <v>23</v>
      </c>
      <c r="C75" s="8"/>
      <c r="D75" s="14">
        <v>2.2999999999999998</v>
      </c>
      <c r="E75" s="8"/>
      <c r="F75" s="14">
        <v>7.4</v>
      </c>
      <c r="G75" s="8"/>
      <c r="L75" s="17">
        <v>32509</v>
      </c>
      <c r="M75" s="3">
        <f t="shared" si="2"/>
        <v>658</v>
      </c>
      <c r="N75" s="56">
        <v>0.1</v>
      </c>
      <c r="O75" s="4">
        <f t="shared" si="3"/>
        <v>598.18181818181813</v>
      </c>
    </row>
    <row r="76" spans="1:15" x14ac:dyDescent="0.2">
      <c r="A76" s="13">
        <v>13788</v>
      </c>
      <c r="B76" s="11">
        <v>24</v>
      </c>
      <c r="C76" s="8"/>
      <c r="D76" s="14">
        <v>0.9</v>
      </c>
      <c r="E76" s="8"/>
      <c r="F76" s="14">
        <v>6.6</v>
      </c>
      <c r="G76" s="8"/>
      <c r="L76" s="17">
        <v>32874</v>
      </c>
      <c r="M76" s="3">
        <f t="shared" si="2"/>
        <v>704</v>
      </c>
      <c r="N76" s="56">
        <v>0.125</v>
      </c>
      <c r="O76" s="4">
        <f t="shared" si="3"/>
        <v>625.77777777777783</v>
      </c>
    </row>
    <row r="77" spans="1:15" x14ac:dyDescent="0.2">
      <c r="A77" s="13">
        <v>13880</v>
      </c>
      <c r="B77" s="11">
        <v>24</v>
      </c>
      <c r="C77" s="8"/>
      <c r="D77" s="14">
        <v>2.2000000000000002</v>
      </c>
      <c r="E77" s="8"/>
      <c r="F77" s="14">
        <v>7.2</v>
      </c>
      <c r="G77" s="8"/>
      <c r="L77" s="17">
        <v>33239</v>
      </c>
      <c r="M77" s="3">
        <f t="shared" si="2"/>
        <v>736</v>
      </c>
      <c r="N77" s="56">
        <v>0.125</v>
      </c>
      <c r="O77" s="4">
        <f t="shared" si="3"/>
        <v>654.22222222222217</v>
      </c>
    </row>
    <row r="78" spans="1:15" x14ac:dyDescent="0.2">
      <c r="A78" s="13">
        <v>13970</v>
      </c>
      <c r="B78" s="11">
        <v>24</v>
      </c>
      <c r="C78" s="8"/>
      <c r="D78" s="14">
        <v>-0.4</v>
      </c>
      <c r="E78" s="8"/>
      <c r="F78" s="14">
        <v>5</v>
      </c>
      <c r="G78" s="8"/>
      <c r="L78" s="17">
        <v>33604</v>
      </c>
      <c r="M78" s="3">
        <f t="shared" si="2"/>
        <v>741</v>
      </c>
      <c r="N78" s="56">
        <v>0.125</v>
      </c>
      <c r="O78" s="4">
        <f t="shared" si="3"/>
        <v>658.66666666666663</v>
      </c>
    </row>
    <row r="79" spans="1:15" x14ac:dyDescent="0.2">
      <c r="A79" s="13">
        <v>14061</v>
      </c>
      <c r="B79" s="11">
        <v>24</v>
      </c>
      <c r="C79" s="8"/>
      <c r="D79" s="14">
        <v>0.8</v>
      </c>
      <c r="E79" s="8"/>
      <c r="F79" s="14">
        <v>3.5</v>
      </c>
      <c r="G79" s="8"/>
      <c r="L79" s="17">
        <v>33970</v>
      </c>
      <c r="M79" s="3">
        <f t="shared" si="2"/>
        <v>749</v>
      </c>
      <c r="N79" s="56">
        <v>0.125</v>
      </c>
      <c r="O79" s="4">
        <f t="shared" si="3"/>
        <v>665.77777777777783</v>
      </c>
    </row>
    <row r="80" spans="1:15" x14ac:dyDescent="0.2">
      <c r="A80" s="13">
        <v>14153</v>
      </c>
      <c r="B80" s="11">
        <v>24</v>
      </c>
      <c r="C80" s="8"/>
      <c r="D80" s="14">
        <v>0.1</v>
      </c>
      <c r="E80" s="8"/>
      <c r="F80" s="14">
        <v>2.7</v>
      </c>
      <c r="G80" s="8"/>
      <c r="L80" s="17">
        <v>34335</v>
      </c>
      <c r="M80" s="3">
        <f t="shared" si="2"/>
        <v>758</v>
      </c>
      <c r="N80" s="56">
        <v>0.125</v>
      </c>
      <c r="O80" s="4">
        <f t="shared" si="3"/>
        <v>673.77777777777783</v>
      </c>
    </row>
    <row r="81" spans="1:15" x14ac:dyDescent="0.2">
      <c r="A81" s="13">
        <v>14245</v>
      </c>
      <c r="B81" s="11">
        <v>24</v>
      </c>
      <c r="C81" s="8"/>
      <c r="D81" s="14">
        <v>0.1</v>
      </c>
      <c r="E81" s="8"/>
      <c r="F81" s="14">
        <v>0.6</v>
      </c>
      <c r="G81" s="8"/>
      <c r="L81" s="17">
        <v>34700</v>
      </c>
      <c r="M81" s="3">
        <f t="shared" si="2"/>
        <v>789</v>
      </c>
      <c r="N81" s="56">
        <v>0.125</v>
      </c>
      <c r="O81" s="4">
        <f t="shared" si="3"/>
        <v>701.33333333333337</v>
      </c>
    </row>
    <row r="82" spans="1:15" x14ac:dyDescent="0.2">
      <c r="A82" s="13">
        <v>14335</v>
      </c>
      <c r="B82" s="11">
        <v>25</v>
      </c>
      <c r="C82" s="8"/>
      <c r="D82" s="14">
        <v>1.7</v>
      </c>
      <c r="E82" s="8"/>
      <c r="F82" s="14">
        <v>2.8</v>
      </c>
      <c r="G82" s="8"/>
      <c r="L82" s="17">
        <v>35065</v>
      </c>
      <c r="M82" s="3">
        <f t="shared" si="2"/>
        <v>806</v>
      </c>
      <c r="N82" s="56">
        <v>0.125</v>
      </c>
      <c r="O82" s="4">
        <f t="shared" si="3"/>
        <v>716.44444444444446</v>
      </c>
    </row>
    <row r="83" spans="1:15" x14ac:dyDescent="0.2">
      <c r="A83" s="13">
        <v>14426</v>
      </c>
      <c r="B83" s="11">
        <v>25</v>
      </c>
      <c r="C83" s="8"/>
      <c r="D83" s="14">
        <v>1.4</v>
      </c>
      <c r="E83" s="8"/>
      <c r="F83" s="14">
        <v>3.4</v>
      </c>
      <c r="G83" s="8"/>
      <c r="L83" s="17">
        <v>35431</v>
      </c>
      <c r="M83" s="3">
        <f t="shared" si="2"/>
        <v>821</v>
      </c>
      <c r="N83" s="56">
        <v>0.125</v>
      </c>
      <c r="O83" s="4">
        <f t="shared" si="3"/>
        <v>729.77777777777783</v>
      </c>
    </row>
    <row r="84" spans="1:15" x14ac:dyDescent="0.2">
      <c r="A84" s="13">
        <v>14518</v>
      </c>
      <c r="B84" s="11">
        <v>25</v>
      </c>
      <c r="C84" s="8"/>
      <c r="D84" s="14">
        <v>1.2</v>
      </c>
      <c r="E84" s="8"/>
      <c r="F84" s="14">
        <v>4.5</v>
      </c>
      <c r="G84" s="8"/>
      <c r="L84" s="17">
        <v>35796</v>
      </c>
      <c r="M84" s="3">
        <f t="shared" si="2"/>
        <v>831</v>
      </c>
      <c r="N84" s="56">
        <v>0.125</v>
      </c>
      <c r="O84" s="4">
        <f t="shared" si="3"/>
        <v>738.66666666666663</v>
      </c>
    </row>
    <row r="85" spans="1:15" x14ac:dyDescent="0.2">
      <c r="A85" s="13">
        <v>14610</v>
      </c>
      <c r="B85" s="11">
        <v>26</v>
      </c>
      <c r="C85" s="8"/>
      <c r="D85" s="14">
        <v>3.1</v>
      </c>
      <c r="E85" s="8"/>
      <c r="F85" s="14">
        <v>7.7</v>
      </c>
      <c r="G85" s="8"/>
      <c r="L85" s="17">
        <v>36161</v>
      </c>
      <c r="M85" s="3">
        <f t="shared" si="2"/>
        <v>830</v>
      </c>
      <c r="N85" s="56">
        <v>0.125</v>
      </c>
      <c r="O85" s="4">
        <f t="shared" si="3"/>
        <v>737.77777777777783</v>
      </c>
    </row>
    <row r="86" spans="1:15" x14ac:dyDescent="0.2">
      <c r="A86" s="13">
        <v>14701</v>
      </c>
      <c r="B86" s="11">
        <v>26</v>
      </c>
      <c r="C86" s="8"/>
      <c r="D86" s="14">
        <v>-1.3</v>
      </c>
      <c r="E86" s="8"/>
      <c r="F86" s="14">
        <v>4.5</v>
      </c>
      <c r="G86" s="8"/>
      <c r="L86" s="17">
        <v>36526</v>
      </c>
      <c r="M86" s="3">
        <f t="shared" si="2"/>
        <v>843</v>
      </c>
      <c r="N86" s="56">
        <v>0.125</v>
      </c>
      <c r="O86" s="4">
        <f t="shared" si="3"/>
        <v>749.33333333333337</v>
      </c>
    </row>
    <row r="87" spans="1:15" x14ac:dyDescent="0.2">
      <c r="A87" s="13">
        <v>14792</v>
      </c>
      <c r="B87" s="11">
        <v>26</v>
      </c>
      <c r="C87" s="8"/>
      <c r="D87" s="14">
        <v>1.6</v>
      </c>
      <c r="E87" s="8"/>
      <c r="F87" s="14">
        <v>4.7</v>
      </c>
      <c r="G87" s="8"/>
      <c r="L87" s="17">
        <v>36892</v>
      </c>
      <c r="M87" s="3">
        <f t="shared" si="2"/>
        <v>869</v>
      </c>
      <c r="N87" s="56">
        <v>0.125</v>
      </c>
      <c r="O87" s="4">
        <f t="shared" si="3"/>
        <v>772.44444444444446</v>
      </c>
    </row>
    <row r="88" spans="1:15" x14ac:dyDescent="0.2">
      <c r="A88" s="13">
        <v>14884</v>
      </c>
      <c r="B88" s="11">
        <v>26</v>
      </c>
      <c r="C88" s="8"/>
      <c r="D88" s="14">
        <v>1.3</v>
      </c>
      <c r="E88" s="8"/>
      <c r="F88" s="14">
        <v>4.7</v>
      </c>
      <c r="G88" s="8"/>
      <c r="L88" s="17">
        <v>37257</v>
      </c>
      <c r="M88" s="3">
        <f t="shared" si="2"/>
        <v>891</v>
      </c>
      <c r="N88" s="56">
        <v>0.125</v>
      </c>
      <c r="O88" s="4">
        <f t="shared" si="3"/>
        <v>792</v>
      </c>
    </row>
    <row r="89" spans="1:15" x14ac:dyDescent="0.2">
      <c r="A89" s="13">
        <v>14976</v>
      </c>
      <c r="B89" s="11">
        <v>27</v>
      </c>
      <c r="C89" s="8"/>
      <c r="D89" s="14">
        <v>1.2</v>
      </c>
      <c r="E89" s="8"/>
      <c r="F89" s="14">
        <v>2.7</v>
      </c>
      <c r="G89" s="8"/>
      <c r="L89" s="17">
        <v>37622</v>
      </c>
      <c r="M89" s="3">
        <f t="shared" si="2"/>
        <v>913</v>
      </c>
      <c r="N89" s="56">
        <v>0.125</v>
      </c>
      <c r="O89" s="4">
        <f t="shared" si="3"/>
        <v>811.55555555555554</v>
      </c>
    </row>
    <row r="90" spans="1:15" x14ac:dyDescent="0.2">
      <c r="A90" s="13">
        <v>15066</v>
      </c>
      <c r="B90" s="11">
        <v>27</v>
      </c>
      <c r="C90" s="8"/>
      <c r="D90" s="14">
        <v>0.2</v>
      </c>
      <c r="E90" s="8"/>
      <c r="F90" s="14">
        <v>4.2</v>
      </c>
      <c r="G90" s="8"/>
      <c r="L90" s="17">
        <v>37987</v>
      </c>
      <c r="M90" s="3">
        <f t="shared" si="2"/>
        <v>928</v>
      </c>
      <c r="N90" s="56">
        <v>0.125</v>
      </c>
      <c r="O90" s="4">
        <f t="shared" si="3"/>
        <v>824.88888888888891</v>
      </c>
    </row>
    <row r="91" spans="1:15" x14ac:dyDescent="0.2">
      <c r="A91" s="13">
        <v>15157</v>
      </c>
      <c r="B91" s="11">
        <v>27</v>
      </c>
      <c r="C91" s="8"/>
      <c r="D91" s="14">
        <v>1.2</v>
      </c>
      <c r="E91" s="8"/>
      <c r="F91" s="14">
        <v>3.9</v>
      </c>
      <c r="G91" s="8"/>
      <c r="L91" s="17">
        <v>38353</v>
      </c>
      <c r="M91" s="3">
        <f t="shared" si="2"/>
        <v>953</v>
      </c>
      <c r="N91" s="56">
        <v>0.125</v>
      </c>
      <c r="O91" s="4">
        <f t="shared" si="3"/>
        <v>847.11111111111109</v>
      </c>
    </row>
    <row r="92" spans="1:15" x14ac:dyDescent="0.2">
      <c r="A92" s="13">
        <v>15249</v>
      </c>
      <c r="B92" s="11">
        <v>27</v>
      </c>
      <c r="C92" s="8"/>
      <c r="D92" s="14">
        <v>0.4</v>
      </c>
      <c r="E92" s="8"/>
      <c r="F92" s="14">
        <v>3</v>
      </c>
      <c r="G92" s="8"/>
      <c r="L92" s="17">
        <v>38718</v>
      </c>
      <c r="M92" s="3">
        <f t="shared" si="2"/>
        <v>985</v>
      </c>
      <c r="N92" s="56">
        <v>0.125</v>
      </c>
      <c r="O92" s="4">
        <f t="shared" si="3"/>
        <v>875.55555555555554</v>
      </c>
    </row>
    <row r="93" spans="1:15" x14ac:dyDescent="0.2">
      <c r="A93" s="13">
        <v>15341</v>
      </c>
      <c r="B93" s="11">
        <v>28</v>
      </c>
      <c r="C93" s="8"/>
      <c r="D93" s="14">
        <v>2</v>
      </c>
      <c r="E93" s="8"/>
      <c r="F93" s="14">
        <v>3.8</v>
      </c>
      <c r="G93" s="8"/>
      <c r="L93" s="17">
        <v>39083</v>
      </c>
      <c r="M93" s="3">
        <f t="shared" si="2"/>
        <v>1010</v>
      </c>
      <c r="N93" s="56">
        <v>0.125</v>
      </c>
      <c r="O93" s="4">
        <f t="shared" si="3"/>
        <v>897.77777777777783</v>
      </c>
    </row>
    <row r="94" spans="1:15" x14ac:dyDescent="0.2">
      <c r="A94" s="13">
        <v>15431</v>
      </c>
      <c r="B94" s="11">
        <v>27</v>
      </c>
      <c r="C94" s="8"/>
      <c r="D94" s="14">
        <v>-1.3</v>
      </c>
      <c r="E94" s="8"/>
      <c r="F94" s="14">
        <v>2.2999999999999998</v>
      </c>
      <c r="G94" s="8"/>
      <c r="L94" s="17">
        <v>39448</v>
      </c>
      <c r="M94" s="3">
        <f t="shared" si="2"/>
        <v>1044</v>
      </c>
      <c r="N94" s="56">
        <v>0.125</v>
      </c>
      <c r="O94" s="4">
        <f t="shared" si="3"/>
        <v>928</v>
      </c>
    </row>
    <row r="95" spans="1:15" x14ac:dyDescent="0.2">
      <c r="A95" s="13">
        <v>15522</v>
      </c>
      <c r="B95" s="11">
        <v>28</v>
      </c>
      <c r="C95" s="8"/>
      <c r="D95" s="14">
        <v>1.6</v>
      </c>
      <c r="E95" s="8"/>
      <c r="F95" s="14">
        <v>2.6</v>
      </c>
      <c r="G95" s="8"/>
      <c r="L95" s="17">
        <v>39814</v>
      </c>
      <c r="M95" s="3">
        <f t="shared" si="2"/>
        <v>1075</v>
      </c>
      <c r="N95" s="56">
        <v>0.125</v>
      </c>
      <c r="O95" s="4">
        <f t="shared" si="3"/>
        <v>955.55555555555554</v>
      </c>
    </row>
    <row r="96" spans="1:15" x14ac:dyDescent="0.2">
      <c r="A96" s="13">
        <v>15614</v>
      </c>
      <c r="B96" s="11">
        <v>28</v>
      </c>
      <c r="C96" s="8"/>
      <c r="D96" s="14">
        <v>1.9</v>
      </c>
      <c r="E96" s="8"/>
      <c r="F96" s="14">
        <v>4.2</v>
      </c>
      <c r="G96" s="8"/>
      <c r="L96" s="17">
        <v>40179</v>
      </c>
      <c r="M96" s="3">
        <f t="shared" si="2"/>
        <v>1097</v>
      </c>
      <c r="N96" s="56">
        <v>0.125</v>
      </c>
      <c r="O96" s="4">
        <f t="shared" si="3"/>
        <v>975.11111111111109</v>
      </c>
    </row>
    <row r="97" spans="1:15" x14ac:dyDescent="0.2">
      <c r="A97" s="13">
        <v>15706</v>
      </c>
      <c r="B97" s="11">
        <v>29</v>
      </c>
      <c r="C97" s="8"/>
      <c r="D97" s="14">
        <v>1.7</v>
      </c>
      <c r="E97" s="8"/>
      <c r="F97" s="14">
        <v>3.9</v>
      </c>
      <c r="G97" s="8"/>
      <c r="L97" s="17">
        <v>40544</v>
      </c>
      <c r="M97" s="3">
        <f t="shared" si="2"/>
        <v>1146</v>
      </c>
      <c r="N97" s="56">
        <f>(15%+12.5%)/2</f>
        <v>0.13750000000000001</v>
      </c>
      <c r="O97" s="4">
        <f t="shared" si="3"/>
        <v>1007.4725274725275</v>
      </c>
    </row>
    <row r="98" spans="1:15" x14ac:dyDescent="0.2">
      <c r="A98" s="13">
        <v>15796</v>
      </c>
      <c r="B98" s="11">
        <v>29</v>
      </c>
      <c r="C98" s="8"/>
      <c r="D98" s="14">
        <v>-1.2</v>
      </c>
      <c r="E98" s="8"/>
      <c r="F98" s="14">
        <v>4</v>
      </c>
      <c r="G98" s="8"/>
      <c r="L98" s="17">
        <v>40909</v>
      </c>
      <c r="M98" s="3">
        <f t="shared" si="2"/>
        <v>1164</v>
      </c>
      <c r="N98" s="56">
        <v>0.15</v>
      </c>
      <c r="O98" s="4">
        <f t="shared" si="3"/>
        <v>1012.1739130434784</v>
      </c>
    </row>
    <row r="99" spans="1:15" x14ac:dyDescent="0.2">
      <c r="A99" s="13">
        <v>15887</v>
      </c>
      <c r="B99" s="11">
        <v>29</v>
      </c>
      <c r="C99" s="8"/>
      <c r="D99" s="14">
        <v>0.3</v>
      </c>
      <c r="E99" s="8"/>
      <c r="F99" s="14">
        <v>2.6</v>
      </c>
      <c r="G99" s="8"/>
      <c r="L99" s="17">
        <v>41275</v>
      </c>
      <c r="M99" s="3">
        <f t="shared" si="2"/>
        <v>1174</v>
      </c>
      <c r="N99" s="56">
        <v>0.15</v>
      </c>
      <c r="O99" s="4">
        <f t="shared" si="3"/>
        <v>1020.8695652173914</v>
      </c>
    </row>
    <row r="100" spans="1:15" x14ac:dyDescent="0.2">
      <c r="A100" s="13">
        <v>15979</v>
      </c>
      <c r="B100" s="11">
        <v>29</v>
      </c>
      <c r="C100" s="8"/>
      <c r="D100" s="14">
        <v>1.1000000000000001</v>
      </c>
      <c r="E100" s="8"/>
      <c r="F100" s="14">
        <v>1.8</v>
      </c>
      <c r="G100" s="8"/>
    </row>
    <row r="101" spans="1:15" x14ac:dyDescent="0.2">
      <c r="A101" s="13">
        <v>16071</v>
      </c>
      <c r="B101" s="11">
        <v>29</v>
      </c>
      <c r="C101" s="8"/>
      <c r="D101" s="14">
        <v>1.3</v>
      </c>
      <c r="E101" s="8"/>
      <c r="F101" s="14">
        <v>1.4</v>
      </c>
      <c r="G101" s="8"/>
    </row>
    <row r="102" spans="1:15" x14ac:dyDescent="0.2">
      <c r="A102" s="13">
        <v>16162</v>
      </c>
      <c r="B102" s="11">
        <v>29</v>
      </c>
      <c r="C102" s="8"/>
      <c r="D102" s="14">
        <v>-0.9</v>
      </c>
      <c r="E102" s="8"/>
      <c r="F102" s="14">
        <v>1.8</v>
      </c>
      <c r="G102" s="8"/>
    </row>
    <row r="103" spans="1:15" x14ac:dyDescent="0.2">
      <c r="A103" s="13">
        <v>16253</v>
      </c>
      <c r="B103" s="11">
        <v>29</v>
      </c>
      <c r="C103" s="8"/>
      <c r="D103" s="14">
        <v>0.5</v>
      </c>
      <c r="E103" s="8"/>
      <c r="F103" s="14">
        <v>2</v>
      </c>
      <c r="G103" s="8"/>
    </row>
    <row r="104" spans="1:15" x14ac:dyDescent="0.2">
      <c r="A104" s="13">
        <v>16345</v>
      </c>
      <c r="B104" s="11">
        <v>29</v>
      </c>
      <c r="C104" s="8"/>
      <c r="D104" s="14">
        <v>0.7</v>
      </c>
      <c r="E104" s="8"/>
      <c r="F104" s="14">
        <v>1.7</v>
      </c>
      <c r="G104" s="8"/>
    </row>
    <row r="105" spans="1:15" x14ac:dyDescent="0.2">
      <c r="A105" s="13">
        <v>16437</v>
      </c>
      <c r="B105" s="11">
        <v>30</v>
      </c>
      <c r="C105" s="8"/>
      <c r="D105" s="14">
        <v>1.1000000000000001</v>
      </c>
      <c r="E105" s="8"/>
      <c r="F105" s="14">
        <v>1.5</v>
      </c>
      <c r="G105" s="8"/>
    </row>
    <row r="106" spans="1:15" x14ac:dyDescent="0.2">
      <c r="A106" s="13">
        <v>16527</v>
      </c>
      <c r="B106" s="11">
        <v>30</v>
      </c>
      <c r="C106" s="8"/>
      <c r="D106" s="14">
        <v>-0.6</v>
      </c>
      <c r="E106" s="8"/>
      <c r="F106" s="14">
        <v>1.7</v>
      </c>
      <c r="G106" s="8"/>
    </row>
    <row r="107" spans="1:15" x14ac:dyDescent="0.2">
      <c r="A107" s="13">
        <v>16618</v>
      </c>
      <c r="B107" s="11">
        <v>30</v>
      </c>
      <c r="C107" s="8"/>
      <c r="D107" s="14">
        <v>0.1</v>
      </c>
      <c r="E107" s="8"/>
      <c r="F107" s="14">
        <v>1.3</v>
      </c>
      <c r="G107" s="8"/>
    </row>
    <row r="108" spans="1:15" x14ac:dyDescent="0.2">
      <c r="A108" s="13">
        <v>16710</v>
      </c>
      <c r="B108" s="11">
        <v>30</v>
      </c>
      <c r="C108" s="8"/>
      <c r="D108" s="14">
        <v>0.5</v>
      </c>
      <c r="E108" s="8"/>
      <c r="F108" s="14">
        <v>1.1000000000000001</v>
      </c>
      <c r="G108" s="8"/>
    </row>
    <row r="109" spans="1:15" x14ac:dyDescent="0.2">
      <c r="A109" s="13">
        <v>16802</v>
      </c>
      <c r="B109" s="11">
        <v>30</v>
      </c>
      <c r="C109" s="8"/>
      <c r="D109" s="14">
        <v>1.3</v>
      </c>
      <c r="E109" s="8"/>
      <c r="F109" s="14">
        <v>1.3</v>
      </c>
      <c r="G109" s="8"/>
    </row>
    <row r="110" spans="1:15" x14ac:dyDescent="0.2">
      <c r="A110" s="13">
        <v>16892</v>
      </c>
      <c r="B110" s="11">
        <v>30</v>
      </c>
      <c r="C110" s="8"/>
      <c r="D110" s="14">
        <v>-0.9</v>
      </c>
      <c r="E110" s="8"/>
      <c r="F110" s="14">
        <v>0.9</v>
      </c>
      <c r="G110" s="8"/>
    </row>
    <row r="111" spans="1:15" x14ac:dyDescent="0.2">
      <c r="A111" s="13">
        <v>16983</v>
      </c>
      <c r="B111" s="11">
        <v>30</v>
      </c>
      <c r="C111" s="8"/>
      <c r="D111" s="14">
        <v>0.2</v>
      </c>
      <c r="E111" s="8"/>
      <c r="F111" s="14">
        <v>1</v>
      </c>
      <c r="G111" s="8"/>
    </row>
    <row r="112" spans="1:15" x14ac:dyDescent="0.2">
      <c r="A112" s="13">
        <v>17075</v>
      </c>
      <c r="B112" s="11">
        <v>30</v>
      </c>
      <c r="C112" s="8"/>
      <c r="D112" s="14">
        <v>0.8</v>
      </c>
      <c r="E112" s="8"/>
      <c r="F112" s="14">
        <v>1.3</v>
      </c>
      <c r="G112" s="8"/>
    </row>
    <row r="113" spans="1:7" x14ac:dyDescent="0.2">
      <c r="A113" s="13">
        <v>17167</v>
      </c>
      <c r="B113" s="11">
        <v>30</v>
      </c>
      <c r="C113" s="8"/>
      <c r="D113" s="14">
        <v>-0.2</v>
      </c>
      <c r="E113" s="8"/>
      <c r="F113" s="14">
        <v>-0.2</v>
      </c>
      <c r="G113" s="8"/>
    </row>
    <row r="114" spans="1:7" x14ac:dyDescent="0.2">
      <c r="A114" s="13">
        <v>17257</v>
      </c>
      <c r="B114" s="11">
        <v>30</v>
      </c>
      <c r="C114" s="8"/>
      <c r="D114" s="14">
        <v>-0.4</v>
      </c>
      <c r="E114" s="8"/>
      <c r="F114" s="14">
        <v>0.3</v>
      </c>
      <c r="G114" s="8"/>
    </row>
    <row r="115" spans="1:7" x14ac:dyDescent="0.2">
      <c r="A115" s="13">
        <v>17348</v>
      </c>
      <c r="B115" s="11">
        <v>30</v>
      </c>
      <c r="C115" s="8"/>
      <c r="D115" s="14">
        <v>0.7</v>
      </c>
      <c r="E115" s="8"/>
      <c r="F115" s="14">
        <v>0.9</v>
      </c>
      <c r="G115" s="8"/>
    </row>
    <row r="116" spans="1:7" x14ac:dyDescent="0.2">
      <c r="A116" s="13">
        <v>17440</v>
      </c>
      <c r="B116" s="11">
        <v>31</v>
      </c>
      <c r="C116" s="8"/>
      <c r="D116" s="14">
        <v>1.7</v>
      </c>
      <c r="E116" s="8"/>
      <c r="F116" s="14">
        <v>1.8</v>
      </c>
      <c r="G116" s="8"/>
    </row>
    <row r="117" spans="1:7" x14ac:dyDescent="0.2">
      <c r="A117" s="13">
        <v>17532</v>
      </c>
      <c r="B117" s="11">
        <v>33</v>
      </c>
      <c r="C117" s="8"/>
      <c r="D117" s="14">
        <v>8</v>
      </c>
      <c r="E117" s="8"/>
      <c r="F117" s="14">
        <v>10.1</v>
      </c>
      <c r="G117" s="8"/>
    </row>
    <row r="118" spans="1:7" x14ac:dyDescent="0.2">
      <c r="A118" s="13">
        <v>17623</v>
      </c>
      <c r="B118" s="11">
        <v>33</v>
      </c>
      <c r="C118" s="8"/>
      <c r="D118" s="14">
        <v>-0.5</v>
      </c>
      <c r="E118" s="8"/>
      <c r="F118" s="14">
        <v>10.1</v>
      </c>
      <c r="G118" s="8"/>
    </row>
    <row r="119" spans="1:7" x14ac:dyDescent="0.2">
      <c r="A119" s="13">
        <v>17714</v>
      </c>
      <c r="B119" s="11">
        <v>33</v>
      </c>
      <c r="C119" s="8"/>
      <c r="D119" s="14">
        <v>1.2</v>
      </c>
      <c r="E119" s="8"/>
      <c r="F119" s="14">
        <v>10.6</v>
      </c>
      <c r="G119" s="8"/>
    </row>
    <row r="120" spans="1:7" x14ac:dyDescent="0.2">
      <c r="A120" s="13">
        <v>17806</v>
      </c>
      <c r="B120" s="11">
        <v>34</v>
      </c>
      <c r="C120" s="8"/>
      <c r="D120" s="14">
        <v>0.7</v>
      </c>
      <c r="E120" s="8"/>
      <c r="F120" s="14">
        <v>9.5</v>
      </c>
      <c r="G120" s="8"/>
    </row>
    <row r="121" spans="1:7" x14ac:dyDescent="0.2">
      <c r="A121" s="13">
        <v>17898</v>
      </c>
      <c r="B121" s="11">
        <v>34</v>
      </c>
      <c r="C121" s="8"/>
      <c r="D121" s="14">
        <v>0.2</v>
      </c>
      <c r="E121" s="8"/>
      <c r="F121" s="14">
        <v>1.6</v>
      </c>
      <c r="G121" s="8"/>
    </row>
    <row r="122" spans="1:7" x14ac:dyDescent="0.2">
      <c r="A122" s="13">
        <v>17988</v>
      </c>
      <c r="B122" s="11">
        <v>34</v>
      </c>
      <c r="C122" s="8"/>
      <c r="D122" s="12" t="s">
        <v>108</v>
      </c>
      <c r="E122" s="8"/>
      <c r="F122" s="14">
        <v>2.1</v>
      </c>
      <c r="G122" s="8"/>
    </row>
    <row r="123" spans="1:7" x14ac:dyDescent="0.2">
      <c r="A123" s="13">
        <v>18079</v>
      </c>
      <c r="B123" s="11">
        <v>34</v>
      </c>
      <c r="C123" s="8"/>
      <c r="D123" s="14">
        <v>0.2</v>
      </c>
      <c r="E123" s="8"/>
      <c r="F123" s="14">
        <v>1.1000000000000001</v>
      </c>
      <c r="G123" s="8"/>
    </row>
    <row r="124" spans="1:7" x14ac:dyDescent="0.2">
      <c r="A124" s="13">
        <v>18171</v>
      </c>
      <c r="B124" s="11">
        <v>34</v>
      </c>
      <c r="C124" s="8"/>
      <c r="D124" s="14">
        <v>1.2</v>
      </c>
      <c r="E124" s="8"/>
      <c r="F124" s="14">
        <v>1.6</v>
      </c>
      <c r="G124" s="8"/>
    </row>
    <row r="125" spans="1:7" x14ac:dyDescent="0.2">
      <c r="A125" s="13">
        <v>18263</v>
      </c>
      <c r="B125" s="11">
        <v>34</v>
      </c>
      <c r="C125" s="8"/>
      <c r="D125" s="14">
        <v>0.4</v>
      </c>
      <c r="E125" s="8"/>
      <c r="F125" s="14">
        <v>1.8</v>
      </c>
      <c r="G125" s="8"/>
    </row>
    <row r="126" spans="1:7" x14ac:dyDescent="0.2">
      <c r="A126" s="13">
        <v>18353</v>
      </c>
      <c r="B126" s="11">
        <v>34</v>
      </c>
      <c r="C126" s="8"/>
      <c r="D126" s="14">
        <v>0.2</v>
      </c>
      <c r="E126" s="8"/>
      <c r="F126" s="14">
        <v>2</v>
      </c>
      <c r="G126" s="8"/>
    </row>
    <row r="127" spans="1:7" x14ac:dyDescent="0.2">
      <c r="A127" s="13">
        <v>18444</v>
      </c>
      <c r="B127" s="11">
        <v>35</v>
      </c>
      <c r="C127" s="8"/>
      <c r="D127" s="14">
        <v>3.1</v>
      </c>
      <c r="E127" s="8"/>
      <c r="F127" s="14">
        <v>5</v>
      </c>
      <c r="G127" s="8"/>
    </row>
    <row r="128" spans="1:7" x14ac:dyDescent="0.2">
      <c r="A128" s="13">
        <v>18536</v>
      </c>
      <c r="B128" s="11">
        <v>37</v>
      </c>
      <c r="C128" s="8"/>
      <c r="D128" s="14">
        <v>3.3</v>
      </c>
      <c r="E128" s="8"/>
      <c r="F128" s="14">
        <v>7.2</v>
      </c>
      <c r="G128" s="8"/>
    </row>
    <row r="129" spans="1:7" x14ac:dyDescent="0.2">
      <c r="A129" s="13">
        <v>18628</v>
      </c>
      <c r="B129" s="11">
        <v>37</v>
      </c>
      <c r="C129" s="8"/>
      <c r="D129" s="14">
        <v>1.7</v>
      </c>
      <c r="E129" s="8"/>
      <c r="F129" s="14">
        <v>8.5</v>
      </c>
      <c r="G129" s="8"/>
    </row>
    <row r="130" spans="1:7" x14ac:dyDescent="0.2">
      <c r="A130" s="13">
        <v>18718</v>
      </c>
      <c r="B130" s="11">
        <v>38</v>
      </c>
      <c r="C130" s="8"/>
      <c r="D130" s="14">
        <v>1.4</v>
      </c>
      <c r="E130" s="8"/>
      <c r="F130" s="14">
        <v>9.9</v>
      </c>
      <c r="G130" s="8"/>
    </row>
    <row r="131" spans="1:7" x14ac:dyDescent="0.2">
      <c r="A131" s="13">
        <v>18809</v>
      </c>
      <c r="B131" s="11">
        <v>39</v>
      </c>
      <c r="C131" s="8"/>
      <c r="D131" s="14">
        <v>4.3</v>
      </c>
      <c r="E131" s="8"/>
      <c r="F131" s="14">
        <v>11.1</v>
      </c>
      <c r="G131" s="8"/>
    </row>
    <row r="132" spans="1:7" x14ac:dyDescent="0.2">
      <c r="A132" s="13">
        <v>18901</v>
      </c>
      <c r="B132" s="11">
        <v>41</v>
      </c>
      <c r="C132" s="8"/>
      <c r="D132" s="14">
        <v>3.3</v>
      </c>
      <c r="E132" s="8"/>
      <c r="F132" s="14">
        <v>11</v>
      </c>
      <c r="G132" s="8"/>
    </row>
    <row r="133" spans="1:7" x14ac:dyDescent="0.2">
      <c r="A133" s="13">
        <v>18993</v>
      </c>
      <c r="B133" s="11">
        <v>42</v>
      </c>
      <c r="C133" s="8"/>
      <c r="D133" s="14">
        <v>2.5</v>
      </c>
      <c r="E133" s="8"/>
      <c r="F133" s="14">
        <v>11.9</v>
      </c>
      <c r="G133" s="8"/>
    </row>
    <row r="134" spans="1:7" x14ac:dyDescent="0.2">
      <c r="A134" s="13">
        <v>19084</v>
      </c>
      <c r="B134" s="11">
        <v>42</v>
      </c>
      <c r="C134" s="8"/>
      <c r="D134" s="14">
        <v>1.3</v>
      </c>
      <c r="E134" s="8"/>
      <c r="F134" s="14">
        <v>11.8</v>
      </c>
      <c r="G134" s="8"/>
    </row>
    <row r="135" spans="1:7" x14ac:dyDescent="0.2">
      <c r="A135" s="13">
        <v>19175</v>
      </c>
      <c r="B135" s="11">
        <v>43</v>
      </c>
      <c r="C135" s="8"/>
      <c r="D135" s="14">
        <v>1.4</v>
      </c>
      <c r="E135" s="8"/>
      <c r="F135" s="14">
        <v>8.6</v>
      </c>
      <c r="G135" s="8"/>
    </row>
    <row r="136" spans="1:7" x14ac:dyDescent="0.2">
      <c r="A136" s="13">
        <v>19267</v>
      </c>
      <c r="B136" s="11">
        <v>43</v>
      </c>
      <c r="C136" s="8"/>
      <c r="D136" s="14">
        <v>1.1000000000000001</v>
      </c>
      <c r="E136" s="8"/>
      <c r="F136" s="14">
        <v>6.4</v>
      </c>
      <c r="G136" s="8"/>
    </row>
    <row r="137" spans="1:7" x14ac:dyDescent="0.2">
      <c r="A137" s="13">
        <v>19359</v>
      </c>
      <c r="B137" s="11">
        <v>43</v>
      </c>
      <c r="C137" s="8"/>
      <c r="D137" s="14">
        <v>0.8</v>
      </c>
      <c r="E137" s="8"/>
      <c r="F137" s="14">
        <v>4.5999999999999996</v>
      </c>
      <c r="G137" s="8"/>
    </row>
    <row r="138" spans="1:7" x14ac:dyDescent="0.2">
      <c r="A138" s="13">
        <v>19449</v>
      </c>
      <c r="B138" s="11">
        <v>44</v>
      </c>
      <c r="C138" s="8"/>
      <c r="D138" s="14">
        <v>1</v>
      </c>
      <c r="E138" s="8"/>
      <c r="F138" s="14">
        <v>4.3</v>
      </c>
      <c r="G138" s="8"/>
    </row>
    <row r="139" spans="1:7" x14ac:dyDescent="0.2">
      <c r="A139" s="13">
        <v>19540</v>
      </c>
      <c r="B139" s="11">
        <v>44</v>
      </c>
      <c r="C139" s="8"/>
      <c r="D139" s="14">
        <v>1.1000000000000001</v>
      </c>
      <c r="E139" s="8"/>
      <c r="F139" s="14">
        <v>4.0999999999999996</v>
      </c>
      <c r="G139" s="8"/>
    </row>
    <row r="140" spans="1:7" x14ac:dyDescent="0.2">
      <c r="A140" s="13">
        <v>19632</v>
      </c>
      <c r="B140" s="11">
        <v>45</v>
      </c>
      <c r="C140" s="8"/>
      <c r="D140" s="14">
        <v>1.1000000000000001</v>
      </c>
      <c r="E140" s="8"/>
      <c r="F140" s="14">
        <v>4.0999999999999996</v>
      </c>
      <c r="G140" s="8"/>
    </row>
    <row r="141" spans="1:7" x14ac:dyDescent="0.2">
      <c r="A141" s="13">
        <v>19724</v>
      </c>
      <c r="B141" s="11">
        <v>46</v>
      </c>
      <c r="C141" s="8"/>
      <c r="D141" s="14">
        <v>2.2000000000000002</v>
      </c>
      <c r="E141" s="8"/>
      <c r="F141" s="14">
        <v>5.6</v>
      </c>
      <c r="G141" s="8"/>
    </row>
    <row r="142" spans="1:7" x14ac:dyDescent="0.2">
      <c r="A142" s="13">
        <v>19814</v>
      </c>
      <c r="B142" s="11">
        <v>46</v>
      </c>
      <c r="C142" s="8"/>
      <c r="D142" s="14">
        <v>0.8</v>
      </c>
      <c r="E142" s="8"/>
      <c r="F142" s="14">
        <v>5.4</v>
      </c>
      <c r="G142" s="8"/>
    </row>
    <row r="143" spans="1:7" x14ac:dyDescent="0.2">
      <c r="A143" s="13">
        <v>19905</v>
      </c>
      <c r="B143" s="11">
        <v>47</v>
      </c>
      <c r="C143" s="8"/>
      <c r="D143" s="14">
        <v>1.7</v>
      </c>
      <c r="E143" s="8"/>
      <c r="F143" s="14">
        <v>5.9</v>
      </c>
      <c r="G143" s="8"/>
    </row>
    <row r="144" spans="1:7" x14ac:dyDescent="0.2">
      <c r="A144" s="13">
        <v>19997</v>
      </c>
      <c r="B144" s="11">
        <v>47</v>
      </c>
      <c r="C144" s="8"/>
      <c r="D144" s="14">
        <v>0.1</v>
      </c>
      <c r="E144" s="8"/>
      <c r="F144" s="14">
        <v>4.9000000000000004</v>
      </c>
      <c r="G144" s="8"/>
    </row>
    <row r="145" spans="1:7" x14ac:dyDescent="0.2">
      <c r="A145" s="13">
        <v>20089</v>
      </c>
      <c r="B145" s="11">
        <v>47</v>
      </c>
      <c r="C145" s="8"/>
      <c r="D145" s="14">
        <v>-0.2</v>
      </c>
      <c r="E145" s="8"/>
      <c r="F145" s="14">
        <v>2.4</v>
      </c>
      <c r="G145" s="8"/>
    </row>
    <row r="146" spans="1:7" x14ac:dyDescent="0.2">
      <c r="A146" s="13">
        <v>20179</v>
      </c>
      <c r="B146" s="11">
        <v>48</v>
      </c>
      <c r="C146" s="8"/>
      <c r="D146" s="14">
        <v>1.4</v>
      </c>
      <c r="E146" s="8"/>
      <c r="F146" s="14">
        <v>3</v>
      </c>
      <c r="G146" s="8"/>
    </row>
    <row r="147" spans="1:7" x14ac:dyDescent="0.2">
      <c r="A147" s="13">
        <v>20270</v>
      </c>
      <c r="B147" s="11">
        <v>48</v>
      </c>
      <c r="C147" s="8"/>
      <c r="D147" s="14">
        <v>1</v>
      </c>
      <c r="E147" s="8"/>
      <c r="F147" s="14">
        <v>2.2999999999999998</v>
      </c>
      <c r="G147" s="8"/>
    </row>
    <row r="148" spans="1:7" x14ac:dyDescent="0.2">
      <c r="A148" s="13">
        <v>20362</v>
      </c>
      <c r="B148" s="11">
        <v>48</v>
      </c>
      <c r="C148" s="8"/>
      <c r="D148" s="14">
        <v>0.1</v>
      </c>
      <c r="E148" s="8"/>
      <c r="F148" s="14">
        <v>2.2999999999999998</v>
      </c>
      <c r="G148" s="8"/>
    </row>
    <row r="149" spans="1:7" x14ac:dyDescent="0.2">
      <c r="A149" s="13">
        <v>20454</v>
      </c>
      <c r="B149" s="11">
        <v>48</v>
      </c>
      <c r="C149" s="8"/>
      <c r="D149" s="12" t="s">
        <v>108</v>
      </c>
      <c r="E149" s="8"/>
      <c r="F149" s="14">
        <v>2.5</v>
      </c>
      <c r="G149" s="8"/>
    </row>
    <row r="150" spans="1:7" x14ac:dyDescent="0.2">
      <c r="A150" s="13">
        <v>20545</v>
      </c>
      <c r="B150" s="11">
        <v>49</v>
      </c>
      <c r="C150" s="8"/>
      <c r="D150" s="14">
        <v>1</v>
      </c>
      <c r="E150" s="8"/>
      <c r="F150" s="14">
        <v>2.2000000000000002</v>
      </c>
      <c r="G150" s="8"/>
    </row>
    <row r="151" spans="1:7" x14ac:dyDescent="0.2">
      <c r="A151" s="13">
        <v>20636</v>
      </c>
      <c r="B151" s="11">
        <v>49</v>
      </c>
      <c r="C151" s="8"/>
      <c r="D151" s="14">
        <v>1.4</v>
      </c>
      <c r="E151" s="8"/>
      <c r="F151" s="14">
        <v>2.6</v>
      </c>
      <c r="G151" s="8"/>
    </row>
    <row r="152" spans="1:7" x14ac:dyDescent="0.2">
      <c r="A152" s="13">
        <v>20728</v>
      </c>
      <c r="B152" s="11">
        <v>50</v>
      </c>
      <c r="C152" s="8"/>
      <c r="D152" s="14">
        <v>2.1</v>
      </c>
      <c r="E152" s="8"/>
      <c r="F152" s="14">
        <v>4.5999999999999996</v>
      </c>
      <c r="G152" s="8"/>
    </row>
    <row r="153" spans="1:7" x14ac:dyDescent="0.2">
      <c r="A153" s="13">
        <v>20820</v>
      </c>
      <c r="B153" s="11">
        <v>50</v>
      </c>
      <c r="C153" s="8"/>
      <c r="D153" s="12" t="s">
        <v>108</v>
      </c>
      <c r="E153" s="8"/>
      <c r="F153" s="14">
        <v>4.5999999999999996</v>
      </c>
      <c r="G153" s="8"/>
    </row>
    <row r="154" spans="1:7" x14ac:dyDescent="0.2">
      <c r="A154" s="13">
        <v>20910</v>
      </c>
      <c r="B154" s="11">
        <v>50</v>
      </c>
      <c r="C154" s="8"/>
      <c r="D154" s="14">
        <v>-0.8</v>
      </c>
      <c r="E154" s="8"/>
      <c r="F154" s="14">
        <v>2.8</v>
      </c>
      <c r="G154" s="8"/>
    </row>
    <row r="155" spans="1:7" x14ac:dyDescent="0.2">
      <c r="A155" s="13">
        <v>21001</v>
      </c>
      <c r="B155" s="11">
        <v>51</v>
      </c>
      <c r="C155" s="8"/>
      <c r="D155" s="14">
        <v>1.4</v>
      </c>
      <c r="E155" s="8"/>
      <c r="F155" s="14">
        <v>2.8</v>
      </c>
      <c r="G155" s="8"/>
    </row>
    <row r="156" spans="1:7" x14ac:dyDescent="0.2">
      <c r="A156" s="13">
        <v>21093</v>
      </c>
      <c r="B156" s="11">
        <v>51</v>
      </c>
      <c r="C156" s="8"/>
      <c r="D156" s="14">
        <v>0.7</v>
      </c>
      <c r="E156" s="8"/>
      <c r="F156" s="14">
        <v>1.3</v>
      </c>
      <c r="G156" s="8"/>
    </row>
    <row r="157" spans="1:7" x14ac:dyDescent="0.2">
      <c r="A157" s="13">
        <v>21185</v>
      </c>
      <c r="B157" s="11">
        <v>51</v>
      </c>
      <c r="C157" s="8"/>
      <c r="D157" s="14">
        <v>0.5</v>
      </c>
      <c r="E157" s="8"/>
      <c r="F157" s="14">
        <v>1.8</v>
      </c>
      <c r="G157" s="8"/>
    </row>
    <row r="158" spans="1:7" x14ac:dyDescent="0.2">
      <c r="A158" s="13">
        <v>21275</v>
      </c>
      <c r="B158" s="11">
        <v>51</v>
      </c>
      <c r="C158" s="8"/>
      <c r="D158" s="14">
        <v>0.1</v>
      </c>
      <c r="E158" s="8"/>
      <c r="F158" s="14">
        <v>2.7</v>
      </c>
      <c r="G158" s="8"/>
    </row>
    <row r="159" spans="1:7" x14ac:dyDescent="0.2">
      <c r="A159" s="13">
        <v>21366</v>
      </c>
      <c r="B159" s="11">
        <v>52</v>
      </c>
      <c r="C159" s="8"/>
      <c r="D159" s="14">
        <v>1</v>
      </c>
      <c r="E159" s="8"/>
      <c r="F159" s="14">
        <v>2.2999999999999998</v>
      </c>
      <c r="G159" s="8"/>
    </row>
    <row r="160" spans="1:7" x14ac:dyDescent="0.2">
      <c r="A160" s="13">
        <v>21458</v>
      </c>
      <c r="B160" s="11">
        <v>54</v>
      </c>
      <c r="C160" s="8"/>
      <c r="D160" s="14">
        <v>4.5999999999999996</v>
      </c>
      <c r="E160" s="8"/>
      <c r="F160" s="14">
        <v>6.3</v>
      </c>
      <c r="G160" s="8"/>
    </row>
    <row r="161" spans="1:7" x14ac:dyDescent="0.2">
      <c r="A161" s="13">
        <v>21550</v>
      </c>
      <c r="B161" s="11">
        <v>55</v>
      </c>
      <c r="C161" s="8"/>
      <c r="D161" s="14">
        <v>0.6</v>
      </c>
      <c r="E161" s="8"/>
      <c r="F161" s="14">
        <v>6.5</v>
      </c>
      <c r="G161" s="8"/>
    </row>
    <row r="162" spans="1:7" x14ac:dyDescent="0.2">
      <c r="A162" s="13">
        <v>21640</v>
      </c>
      <c r="B162" s="11">
        <v>55</v>
      </c>
      <c r="C162" s="8"/>
      <c r="D162" s="14">
        <v>0.2</v>
      </c>
      <c r="E162" s="8"/>
      <c r="F162" s="14">
        <v>6.5</v>
      </c>
      <c r="G162" s="8"/>
    </row>
    <row r="163" spans="1:7" x14ac:dyDescent="0.2">
      <c r="A163" s="13">
        <v>21731</v>
      </c>
      <c r="B163" s="11">
        <v>55</v>
      </c>
      <c r="C163" s="8"/>
      <c r="D163" s="14">
        <v>0.3</v>
      </c>
      <c r="E163" s="8"/>
      <c r="F163" s="14">
        <v>5.7</v>
      </c>
      <c r="G163" s="8"/>
    </row>
    <row r="164" spans="1:7" x14ac:dyDescent="0.2">
      <c r="A164" s="13">
        <v>21823</v>
      </c>
      <c r="B164" s="11">
        <v>55</v>
      </c>
      <c r="C164" s="8"/>
      <c r="D164" s="14">
        <v>1.1000000000000001</v>
      </c>
      <c r="E164" s="8"/>
      <c r="F164" s="14">
        <v>2.1</v>
      </c>
      <c r="G164" s="8"/>
    </row>
    <row r="165" spans="1:7" x14ac:dyDescent="0.2">
      <c r="A165" s="13">
        <v>21915</v>
      </c>
      <c r="B165" s="11">
        <v>55</v>
      </c>
      <c r="C165" s="8"/>
      <c r="D165" s="14">
        <v>-0.3</v>
      </c>
      <c r="E165" s="8"/>
      <c r="F165" s="14">
        <v>1.1000000000000001</v>
      </c>
      <c r="G165" s="8"/>
    </row>
    <row r="166" spans="1:7" x14ac:dyDescent="0.2">
      <c r="A166" s="13">
        <v>22006</v>
      </c>
      <c r="B166" s="11">
        <v>55</v>
      </c>
      <c r="C166" s="8"/>
      <c r="D166" s="14">
        <v>-0.4</v>
      </c>
      <c r="E166" s="8"/>
      <c r="F166" s="14">
        <v>0.5</v>
      </c>
      <c r="G166" s="8"/>
    </row>
    <row r="167" spans="1:7" x14ac:dyDescent="0.2">
      <c r="A167" s="13">
        <v>22097</v>
      </c>
      <c r="B167" s="11">
        <v>55</v>
      </c>
      <c r="C167" s="8"/>
      <c r="D167" s="14">
        <v>0.2</v>
      </c>
      <c r="E167" s="8"/>
      <c r="F167" s="14">
        <v>0.4</v>
      </c>
      <c r="G167" s="8"/>
    </row>
    <row r="168" spans="1:7" x14ac:dyDescent="0.2">
      <c r="A168" s="13">
        <v>22189</v>
      </c>
      <c r="B168" s="11">
        <v>56</v>
      </c>
      <c r="C168" s="8"/>
      <c r="D168" s="14">
        <v>0.9</v>
      </c>
      <c r="E168" s="8"/>
      <c r="F168" s="14">
        <v>0.3</v>
      </c>
      <c r="G168" s="8"/>
    </row>
    <row r="169" spans="1:7" x14ac:dyDescent="0.2">
      <c r="A169" s="13">
        <v>22281</v>
      </c>
      <c r="B169" s="11">
        <v>56</v>
      </c>
      <c r="C169" s="8"/>
      <c r="D169" s="14">
        <v>1</v>
      </c>
      <c r="E169" s="8"/>
      <c r="F169" s="14">
        <v>1.6</v>
      </c>
      <c r="G169" s="8"/>
    </row>
    <row r="170" spans="1:7" x14ac:dyDescent="0.2">
      <c r="A170" s="13">
        <v>22371</v>
      </c>
      <c r="B170" s="11">
        <v>56</v>
      </c>
      <c r="C170" s="8"/>
      <c r="D170" s="14">
        <v>-0.4</v>
      </c>
      <c r="E170" s="8"/>
      <c r="F170" s="14">
        <v>1.6</v>
      </c>
      <c r="G170" s="8"/>
    </row>
    <row r="171" spans="1:7" x14ac:dyDescent="0.2">
      <c r="A171" s="13">
        <v>22462</v>
      </c>
      <c r="B171" s="11">
        <v>56</v>
      </c>
      <c r="C171" s="8"/>
      <c r="D171" s="12" t="s">
        <v>108</v>
      </c>
      <c r="E171" s="8"/>
      <c r="F171" s="14">
        <v>1.4</v>
      </c>
      <c r="G171" s="8"/>
    </row>
    <row r="172" spans="1:7" x14ac:dyDescent="0.2">
      <c r="A172" s="13">
        <v>22554</v>
      </c>
      <c r="B172" s="11">
        <v>57</v>
      </c>
      <c r="C172" s="8"/>
      <c r="D172" s="14">
        <v>1.5</v>
      </c>
      <c r="E172" s="8"/>
      <c r="F172" s="14">
        <v>2.1</v>
      </c>
      <c r="G172" s="8"/>
    </row>
    <row r="173" spans="1:7" x14ac:dyDescent="0.2">
      <c r="A173" s="13">
        <v>22646</v>
      </c>
      <c r="B173" s="11">
        <v>57</v>
      </c>
      <c r="C173" s="8"/>
      <c r="D173" s="14">
        <v>1</v>
      </c>
      <c r="E173" s="8"/>
      <c r="F173" s="14">
        <v>2.1</v>
      </c>
      <c r="G173" s="8"/>
    </row>
    <row r="174" spans="1:7" x14ac:dyDescent="0.2">
      <c r="A174" s="13">
        <v>22736</v>
      </c>
      <c r="B174" s="11">
        <v>58</v>
      </c>
      <c r="C174" s="8"/>
      <c r="D174" s="14">
        <v>0.3</v>
      </c>
      <c r="E174" s="8"/>
      <c r="F174" s="14">
        <v>2.9</v>
      </c>
      <c r="G174" s="8"/>
    </row>
    <row r="175" spans="1:7" x14ac:dyDescent="0.2">
      <c r="A175" s="13">
        <v>22827</v>
      </c>
      <c r="B175" s="11">
        <v>58</v>
      </c>
      <c r="C175" s="8"/>
      <c r="D175" s="14">
        <v>0.3</v>
      </c>
      <c r="E175" s="8"/>
      <c r="F175" s="14">
        <v>3.3</v>
      </c>
      <c r="G175" s="8"/>
    </row>
    <row r="176" spans="1:7" x14ac:dyDescent="0.2">
      <c r="A176" s="13">
        <v>22919</v>
      </c>
      <c r="B176" s="11">
        <v>58</v>
      </c>
      <c r="C176" s="8"/>
      <c r="D176" s="14">
        <v>0.7</v>
      </c>
      <c r="E176" s="8"/>
      <c r="F176" s="14">
        <v>2.5</v>
      </c>
      <c r="G176" s="8"/>
    </row>
    <row r="177" spans="1:7" x14ac:dyDescent="0.2">
      <c r="A177" s="13">
        <v>23011</v>
      </c>
      <c r="B177" s="11">
        <v>59</v>
      </c>
      <c r="C177" s="8"/>
      <c r="D177" s="14">
        <v>0.7</v>
      </c>
      <c r="E177" s="8"/>
      <c r="F177" s="14">
        <v>2.1</v>
      </c>
      <c r="G177" s="8"/>
    </row>
    <row r="178" spans="1:7" x14ac:dyDescent="0.2">
      <c r="A178" s="13">
        <v>23101</v>
      </c>
      <c r="B178" s="11">
        <v>59</v>
      </c>
      <c r="C178" s="8"/>
      <c r="D178" s="14">
        <v>0.1</v>
      </c>
      <c r="E178" s="8"/>
      <c r="F178" s="14">
        <v>1.8</v>
      </c>
      <c r="G178" s="8"/>
    </row>
    <row r="179" spans="1:7" x14ac:dyDescent="0.2">
      <c r="A179" s="13">
        <v>23192</v>
      </c>
      <c r="B179" s="11">
        <v>59</v>
      </c>
      <c r="C179" s="8"/>
      <c r="D179" s="14">
        <v>0.4</v>
      </c>
      <c r="E179" s="8"/>
      <c r="F179" s="14">
        <v>1.9</v>
      </c>
      <c r="G179" s="8"/>
    </row>
    <row r="180" spans="1:7" x14ac:dyDescent="0.2">
      <c r="A180" s="13">
        <v>23284</v>
      </c>
      <c r="B180" s="11">
        <v>59</v>
      </c>
      <c r="C180" s="8"/>
      <c r="D180" s="14">
        <v>0.7</v>
      </c>
      <c r="E180" s="8"/>
      <c r="F180" s="14">
        <v>1.9</v>
      </c>
      <c r="G180" s="8"/>
    </row>
    <row r="181" spans="1:7" x14ac:dyDescent="0.2">
      <c r="A181" s="13">
        <v>23376</v>
      </c>
      <c r="B181" s="11">
        <v>60</v>
      </c>
      <c r="C181" s="8"/>
      <c r="D181" s="14">
        <v>1</v>
      </c>
      <c r="E181" s="8"/>
      <c r="F181" s="14">
        <v>2.2000000000000002</v>
      </c>
      <c r="G181" s="8"/>
    </row>
    <row r="182" spans="1:7" x14ac:dyDescent="0.2">
      <c r="A182" s="13">
        <v>23467</v>
      </c>
      <c r="B182" s="11">
        <v>60</v>
      </c>
      <c r="C182" s="8"/>
      <c r="D182" s="14">
        <v>0.4</v>
      </c>
      <c r="E182" s="8"/>
      <c r="F182" s="14">
        <v>2.5</v>
      </c>
      <c r="G182" s="8"/>
    </row>
    <row r="183" spans="1:7" x14ac:dyDescent="0.2">
      <c r="A183" s="13">
        <v>23558</v>
      </c>
      <c r="B183" s="11">
        <v>61</v>
      </c>
      <c r="C183" s="8"/>
      <c r="D183" s="14">
        <v>0.9</v>
      </c>
      <c r="E183" s="8"/>
      <c r="F183" s="14">
        <v>3</v>
      </c>
      <c r="G183" s="8"/>
    </row>
    <row r="184" spans="1:7" x14ac:dyDescent="0.2">
      <c r="A184" s="13">
        <v>23650</v>
      </c>
      <c r="B184" s="11">
        <v>62</v>
      </c>
      <c r="C184" s="8"/>
      <c r="D184" s="14">
        <v>1.5</v>
      </c>
      <c r="E184" s="8"/>
      <c r="F184" s="14">
        <v>3.8</v>
      </c>
      <c r="G184" s="8"/>
    </row>
    <row r="185" spans="1:7" x14ac:dyDescent="0.2">
      <c r="A185" s="13">
        <v>23742</v>
      </c>
      <c r="B185" s="11">
        <v>63</v>
      </c>
      <c r="C185" s="8"/>
      <c r="D185" s="14">
        <v>1.6</v>
      </c>
      <c r="E185" s="8"/>
      <c r="F185" s="14">
        <v>4.5</v>
      </c>
      <c r="G185" s="8"/>
    </row>
    <row r="186" spans="1:7" x14ac:dyDescent="0.2">
      <c r="A186" s="13">
        <v>23832</v>
      </c>
      <c r="B186" s="11">
        <v>63</v>
      </c>
      <c r="C186" s="8"/>
      <c r="D186" s="14">
        <v>0.2</v>
      </c>
      <c r="E186" s="8"/>
      <c r="F186" s="14">
        <v>4.3</v>
      </c>
      <c r="G186" s="8"/>
    </row>
    <row r="187" spans="1:7" x14ac:dyDescent="0.2">
      <c r="A187" s="13">
        <v>23923</v>
      </c>
      <c r="B187" s="11">
        <v>63</v>
      </c>
      <c r="C187" s="8"/>
      <c r="D187" s="14">
        <v>0.2</v>
      </c>
      <c r="E187" s="8"/>
      <c r="F187" s="14">
        <v>3.6</v>
      </c>
      <c r="G187" s="8"/>
    </row>
    <row r="188" spans="1:7" x14ac:dyDescent="0.2">
      <c r="A188" s="13">
        <v>24015</v>
      </c>
      <c r="B188" s="11">
        <v>64</v>
      </c>
      <c r="C188" s="8"/>
      <c r="D188" s="14">
        <v>1.3</v>
      </c>
      <c r="E188" s="8"/>
      <c r="F188" s="14">
        <v>3.4</v>
      </c>
      <c r="G188" s="8"/>
    </row>
    <row r="189" spans="1:7" x14ac:dyDescent="0.2">
      <c r="A189" s="13">
        <v>24107</v>
      </c>
      <c r="B189" s="11">
        <v>64</v>
      </c>
      <c r="C189" s="8"/>
      <c r="D189" s="14">
        <v>0.7</v>
      </c>
      <c r="E189" s="8"/>
      <c r="F189" s="14">
        <v>2.4</v>
      </c>
      <c r="G189" s="8"/>
    </row>
    <row r="190" spans="1:7" x14ac:dyDescent="0.2">
      <c r="A190" s="13">
        <v>24197</v>
      </c>
      <c r="B190" s="11">
        <v>64</v>
      </c>
      <c r="C190" s="8"/>
      <c r="D190" s="14">
        <v>0.7</v>
      </c>
      <c r="E190" s="8"/>
      <c r="F190" s="14">
        <v>2.8</v>
      </c>
      <c r="G190" s="8"/>
    </row>
    <row r="191" spans="1:7" x14ac:dyDescent="0.2">
      <c r="A191" s="13">
        <v>24288</v>
      </c>
      <c r="B191" s="11">
        <v>65</v>
      </c>
      <c r="C191" s="8"/>
      <c r="D191" s="14">
        <v>0.6</v>
      </c>
      <c r="E191" s="8"/>
      <c r="F191" s="14">
        <v>3.3</v>
      </c>
      <c r="G191" s="8"/>
    </row>
    <row r="192" spans="1:7" x14ac:dyDescent="0.2">
      <c r="A192" s="13">
        <v>24380</v>
      </c>
      <c r="B192" s="11">
        <v>65</v>
      </c>
      <c r="C192" s="8"/>
      <c r="D192" s="14">
        <v>0.6</v>
      </c>
      <c r="E192" s="8"/>
      <c r="F192" s="14">
        <v>2.6</v>
      </c>
      <c r="G192" s="8"/>
    </row>
    <row r="193" spans="1:7" x14ac:dyDescent="0.2">
      <c r="A193" s="13">
        <v>24472</v>
      </c>
      <c r="B193" s="11">
        <v>66</v>
      </c>
      <c r="C193" s="8"/>
      <c r="D193" s="14">
        <v>0.5</v>
      </c>
      <c r="E193" s="8"/>
      <c r="F193" s="14">
        <v>2.4</v>
      </c>
      <c r="G193" s="8"/>
    </row>
    <row r="194" spans="1:7" x14ac:dyDescent="0.2">
      <c r="A194" s="13">
        <v>24562</v>
      </c>
      <c r="B194" s="11">
        <v>67</v>
      </c>
      <c r="C194" s="8"/>
      <c r="D194" s="14">
        <v>2.5</v>
      </c>
      <c r="E194" s="8"/>
      <c r="F194" s="14">
        <v>4.2</v>
      </c>
      <c r="G194" s="8"/>
    </row>
    <row r="195" spans="1:7" x14ac:dyDescent="0.2">
      <c r="A195" s="13">
        <v>24653</v>
      </c>
      <c r="B195" s="11">
        <v>69</v>
      </c>
      <c r="C195" s="8"/>
      <c r="D195" s="14">
        <v>2.7</v>
      </c>
      <c r="E195" s="8"/>
      <c r="F195" s="14">
        <v>6.4</v>
      </c>
      <c r="G195" s="8"/>
    </row>
    <row r="196" spans="1:7" x14ac:dyDescent="0.2">
      <c r="A196" s="13">
        <v>24745</v>
      </c>
      <c r="B196" s="11">
        <v>70</v>
      </c>
      <c r="C196" s="8"/>
      <c r="D196" s="14">
        <v>1.1000000000000001</v>
      </c>
      <c r="E196" s="8"/>
      <c r="F196" s="14">
        <v>7</v>
      </c>
      <c r="G196" s="8"/>
    </row>
    <row r="197" spans="1:7" x14ac:dyDescent="0.2">
      <c r="A197" s="13">
        <v>24837</v>
      </c>
      <c r="B197" s="11">
        <v>70</v>
      </c>
      <c r="C197" s="8"/>
      <c r="D197" s="14">
        <v>0.1</v>
      </c>
      <c r="E197" s="8"/>
      <c r="F197" s="14">
        <v>6.6</v>
      </c>
      <c r="G197" s="8"/>
    </row>
    <row r="198" spans="1:7" x14ac:dyDescent="0.2">
      <c r="A198" s="13">
        <v>24928</v>
      </c>
      <c r="B198" s="11">
        <v>71</v>
      </c>
      <c r="C198" s="8"/>
      <c r="D198" s="14">
        <v>1</v>
      </c>
      <c r="E198" s="8"/>
      <c r="F198" s="14">
        <v>5</v>
      </c>
      <c r="G198" s="8"/>
    </row>
    <row r="199" spans="1:7" x14ac:dyDescent="0.2">
      <c r="A199" s="13">
        <v>25019</v>
      </c>
      <c r="B199" s="11">
        <v>71</v>
      </c>
      <c r="C199" s="8"/>
      <c r="D199" s="14">
        <v>1.3</v>
      </c>
      <c r="E199" s="8"/>
      <c r="F199" s="14">
        <v>3.6</v>
      </c>
      <c r="G199" s="8"/>
    </row>
    <row r="200" spans="1:7" x14ac:dyDescent="0.2">
      <c r="A200" s="13">
        <v>25111</v>
      </c>
      <c r="B200" s="11">
        <v>72</v>
      </c>
      <c r="C200" s="8"/>
      <c r="D200" s="14">
        <v>1.2</v>
      </c>
      <c r="E200" s="8"/>
      <c r="F200" s="14">
        <v>3.6</v>
      </c>
      <c r="G200" s="8"/>
    </row>
    <row r="201" spans="1:7" x14ac:dyDescent="0.2">
      <c r="A201" s="13">
        <v>25203</v>
      </c>
      <c r="B201" s="11">
        <v>73</v>
      </c>
      <c r="C201" s="8"/>
      <c r="D201" s="14">
        <v>1.5</v>
      </c>
      <c r="E201" s="8"/>
      <c r="F201" s="14">
        <v>5.0999999999999996</v>
      </c>
      <c r="G201" s="8"/>
    </row>
    <row r="202" spans="1:7" x14ac:dyDescent="0.2">
      <c r="A202" s="13">
        <v>25293</v>
      </c>
      <c r="B202" s="11">
        <v>74</v>
      </c>
      <c r="C202" s="8"/>
      <c r="D202" s="14">
        <v>1.4</v>
      </c>
      <c r="E202" s="8"/>
      <c r="F202" s="14">
        <v>5.5</v>
      </c>
      <c r="G202" s="8"/>
    </row>
    <row r="203" spans="1:7" x14ac:dyDescent="0.2">
      <c r="A203" s="13">
        <v>25384</v>
      </c>
      <c r="B203" s="11">
        <v>75</v>
      </c>
      <c r="C203" s="8"/>
      <c r="D203" s="14">
        <v>1.1000000000000001</v>
      </c>
      <c r="E203" s="8"/>
      <c r="F203" s="14">
        <v>5.2</v>
      </c>
      <c r="G203" s="8"/>
    </row>
    <row r="204" spans="1:7" x14ac:dyDescent="0.2">
      <c r="A204" s="13">
        <v>25476</v>
      </c>
      <c r="B204" s="11">
        <v>76</v>
      </c>
      <c r="C204" s="8"/>
      <c r="D204" s="14">
        <v>1</v>
      </c>
      <c r="E204" s="8"/>
      <c r="F204" s="14">
        <v>5.0999999999999996</v>
      </c>
      <c r="G204" s="8"/>
    </row>
    <row r="205" spans="1:7" x14ac:dyDescent="0.2">
      <c r="A205" s="13">
        <v>25568</v>
      </c>
      <c r="B205" s="11">
        <v>76</v>
      </c>
      <c r="C205" s="8"/>
      <c r="D205" s="14">
        <v>0.4</v>
      </c>
      <c r="E205" s="8"/>
      <c r="F205" s="14">
        <v>4</v>
      </c>
      <c r="G205" s="8"/>
    </row>
    <row r="206" spans="1:7" x14ac:dyDescent="0.2">
      <c r="A206" s="13">
        <v>25658</v>
      </c>
      <c r="B206" s="11">
        <v>78</v>
      </c>
      <c r="C206" s="8"/>
      <c r="D206" s="14">
        <v>2.2000000000000002</v>
      </c>
      <c r="E206" s="8"/>
      <c r="F206" s="14">
        <v>4.8</v>
      </c>
      <c r="G206" s="8"/>
    </row>
    <row r="207" spans="1:7" x14ac:dyDescent="0.2">
      <c r="A207" s="13">
        <v>25749</v>
      </c>
      <c r="B207" s="11">
        <v>79</v>
      </c>
      <c r="C207" s="8"/>
      <c r="D207" s="14">
        <v>1.5</v>
      </c>
      <c r="E207" s="8"/>
      <c r="F207" s="14">
        <v>5.2</v>
      </c>
      <c r="G207" s="8"/>
    </row>
    <row r="208" spans="1:7" x14ac:dyDescent="0.2">
      <c r="A208" s="13">
        <v>25841</v>
      </c>
      <c r="B208" s="11">
        <v>81</v>
      </c>
      <c r="C208" s="8"/>
      <c r="D208" s="14">
        <v>1.8</v>
      </c>
      <c r="E208" s="8"/>
      <c r="F208" s="14">
        <v>6.1</v>
      </c>
      <c r="G208" s="8"/>
    </row>
    <row r="209" spans="1:7" x14ac:dyDescent="0.2">
      <c r="A209" s="13">
        <v>25933</v>
      </c>
      <c r="B209" s="11">
        <v>84</v>
      </c>
      <c r="C209" s="8"/>
      <c r="D209" s="14">
        <v>4.0999999999999996</v>
      </c>
      <c r="E209" s="8"/>
      <c r="F209" s="14">
        <v>10</v>
      </c>
      <c r="G209" s="8"/>
    </row>
    <row r="210" spans="1:7" x14ac:dyDescent="0.2">
      <c r="A210" s="13">
        <v>26023</v>
      </c>
      <c r="B210" s="11">
        <v>86</v>
      </c>
      <c r="C210" s="8"/>
      <c r="D210" s="14">
        <v>2.5</v>
      </c>
      <c r="E210" s="8"/>
      <c r="F210" s="14">
        <v>10.3</v>
      </c>
      <c r="G210" s="8"/>
    </row>
    <row r="211" spans="1:7" x14ac:dyDescent="0.2">
      <c r="A211" s="13">
        <v>26114</v>
      </c>
      <c r="B211" s="11">
        <v>88</v>
      </c>
      <c r="C211" s="8"/>
      <c r="D211" s="14">
        <v>2.2000000000000002</v>
      </c>
      <c r="E211" s="8"/>
      <c r="F211" s="14">
        <v>11</v>
      </c>
      <c r="G211" s="8"/>
    </row>
    <row r="212" spans="1:7" x14ac:dyDescent="0.2">
      <c r="A212" s="13">
        <v>26206</v>
      </c>
      <c r="B212" s="11">
        <v>90</v>
      </c>
      <c r="C212" s="8"/>
      <c r="D212" s="14">
        <v>1.9</v>
      </c>
      <c r="E212" s="8"/>
      <c r="F212" s="14">
        <v>11.1</v>
      </c>
      <c r="G212" s="8"/>
    </row>
    <row r="213" spans="1:7" x14ac:dyDescent="0.2">
      <c r="A213" s="13">
        <v>26298</v>
      </c>
      <c r="B213" s="11">
        <v>92</v>
      </c>
      <c r="C213" s="8"/>
      <c r="D213" s="14">
        <v>2.2000000000000002</v>
      </c>
      <c r="E213" s="8"/>
      <c r="F213" s="14">
        <v>9.1</v>
      </c>
      <c r="G213" s="8"/>
    </row>
    <row r="214" spans="1:7" x14ac:dyDescent="0.2">
      <c r="A214" s="13">
        <v>26389</v>
      </c>
      <c r="B214" s="11">
        <v>93</v>
      </c>
      <c r="C214" s="8"/>
      <c r="D214" s="14">
        <v>1.9</v>
      </c>
      <c r="E214" s="8"/>
      <c r="F214" s="14">
        <v>8.5</v>
      </c>
      <c r="G214" s="8"/>
    </row>
    <row r="215" spans="1:7" x14ac:dyDescent="0.2">
      <c r="A215" s="13">
        <v>26480</v>
      </c>
      <c r="B215" s="11">
        <v>94</v>
      </c>
      <c r="C215" s="8"/>
      <c r="D215" s="14">
        <v>1.2</v>
      </c>
      <c r="E215" s="8"/>
      <c r="F215" s="14">
        <v>7.4</v>
      </c>
      <c r="G215" s="8"/>
    </row>
    <row r="216" spans="1:7" x14ac:dyDescent="0.2">
      <c r="A216" s="13">
        <v>26572</v>
      </c>
      <c r="B216" s="11">
        <v>95</v>
      </c>
      <c r="C216" s="8"/>
      <c r="D216" s="14">
        <v>1.1000000000000001</v>
      </c>
      <c r="E216" s="8"/>
      <c r="F216" s="14">
        <v>6.5</v>
      </c>
      <c r="G216" s="8"/>
    </row>
    <row r="217" spans="1:7" x14ac:dyDescent="0.2">
      <c r="A217" s="13">
        <v>26664</v>
      </c>
      <c r="B217" s="11">
        <v>96</v>
      </c>
      <c r="C217" s="8"/>
      <c r="D217" s="14">
        <v>1.2</v>
      </c>
      <c r="E217" s="8"/>
      <c r="F217" s="14">
        <v>5.5</v>
      </c>
      <c r="G217" s="8"/>
    </row>
    <row r="218" spans="1:7" x14ac:dyDescent="0.2">
      <c r="A218" s="13">
        <v>26754</v>
      </c>
      <c r="B218" s="11">
        <v>99</v>
      </c>
      <c r="C218" s="8"/>
      <c r="D218" s="14">
        <v>2.4</v>
      </c>
      <c r="E218" s="8"/>
      <c r="F218" s="14">
        <v>6</v>
      </c>
      <c r="G218" s="8"/>
    </row>
    <row r="219" spans="1:7" x14ac:dyDescent="0.2">
      <c r="A219" s="13">
        <v>26845</v>
      </c>
      <c r="B219" s="11">
        <v>101</v>
      </c>
      <c r="C219" s="8"/>
      <c r="D219" s="14">
        <v>2.8</v>
      </c>
      <c r="E219" s="8"/>
      <c r="F219" s="14">
        <v>7.6</v>
      </c>
      <c r="G219" s="8"/>
    </row>
    <row r="220" spans="1:7" x14ac:dyDescent="0.2">
      <c r="A220" s="13">
        <v>26937</v>
      </c>
      <c r="B220" s="11">
        <v>104</v>
      </c>
      <c r="C220" s="8"/>
      <c r="D220" s="14">
        <v>2.2999999999999998</v>
      </c>
      <c r="E220" s="8"/>
      <c r="F220" s="14">
        <v>8.9</v>
      </c>
      <c r="G220" s="8"/>
    </row>
    <row r="221" spans="1:7" x14ac:dyDescent="0.2">
      <c r="A221" s="13">
        <v>27029</v>
      </c>
      <c r="B221" s="11">
        <v>106</v>
      </c>
      <c r="C221" s="8"/>
      <c r="D221" s="14">
        <v>2.4</v>
      </c>
      <c r="E221" s="8"/>
      <c r="F221" s="14">
        <v>10.199999999999999</v>
      </c>
      <c r="G221" s="8"/>
    </row>
    <row r="222" spans="1:7" x14ac:dyDescent="0.2">
      <c r="A222" s="13">
        <v>27119</v>
      </c>
      <c r="B222" s="11">
        <v>109</v>
      </c>
      <c r="C222" s="8"/>
      <c r="D222" s="14">
        <v>2.5</v>
      </c>
      <c r="E222" s="8"/>
      <c r="F222" s="14">
        <v>10.3</v>
      </c>
      <c r="G222" s="8"/>
    </row>
    <row r="223" spans="1:7" x14ac:dyDescent="0.2">
      <c r="A223" s="13">
        <v>27210</v>
      </c>
      <c r="B223" s="11">
        <v>112</v>
      </c>
      <c r="C223" s="8"/>
      <c r="D223" s="14">
        <v>2.4</v>
      </c>
      <c r="E223" s="8"/>
      <c r="F223" s="14">
        <v>10</v>
      </c>
      <c r="G223" s="8"/>
    </row>
    <row r="224" spans="1:7" x14ac:dyDescent="0.2">
      <c r="A224" s="13">
        <v>27302</v>
      </c>
      <c r="B224" s="11">
        <v>116</v>
      </c>
      <c r="C224" s="8"/>
      <c r="D224" s="14">
        <v>3.7</v>
      </c>
      <c r="E224" s="8"/>
      <c r="F224" s="14">
        <v>11.5</v>
      </c>
      <c r="G224" s="8"/>
    </row>
    <row r="225" spans="1:7" x14ac:dyDescent="0.2">
      <c r="A225" s="13">
        <v>27394</v>
      </c>
      <c r="B225" s="11">
        <v>120</v>
      </c>
      <c r="C225" s="8"/>
      <c r="D225" s="14">
        <v>3.3</v>
      </c>
      <c r="E225" s="8"/>
      <c r="F225" s="14">
        <v>12.6</v>
      </c>
      <c r="G225" s="8"/>
    </row>
    <row r="226" spans="1:7" x14ac:dyDescent="0.2">
      <c r="A226" s="13">
        <v>27484</v>
      </c>
      <c r="B226" s="11">
        <v>123</v>
      </c>
      <c r="C226" s="8"/>
      <c r="D226" s="14">
        <v>3.1</v>
      </c>
      <c r="E226" s="8"/>
      <c r="F226" s="14">
        <v>13.2</v>
      </c>
      <c r="G226" s="8"/>
    </row>
    <row r="227" spans="1:7" x14ac:dyDescent="0.2">
      <c r="A227" s="13">
        <v>27575</v>
      </c>
      <c r="B227" s="11">
        <v>128</v>
      </c>
      <c r="C227" s="8"/>
      <c r="D227" s="14">
        <v>4</v>
      </c>
      <c r="E227" s="8"/>
      <c r="F227" s="14">
        <v>14.9</v>
      </c>
      <c r="G227" s="8"/>
    </row>
    <row r="228" spans="1:7" x14ac:dyDescent="0.2">
      <c r="A228" s="13">
        <v>27667</v>
      </c>
      <c r="B228" s="11">
        <v>133</v>
      </c>
      <c r="C228" s="8"/>
      <c r="D228" s="14">
        <v>3.6</v>
      </c>
      <c r="E228" s="8"/>
      <c r="F228" s="14">
        <v>14.8</v>
      </c>
      <c r="G228" s="8"/>
    </row>
    <row r="229" spans="1:7" x14ac:dyDescent="0.2">
      <c r="A229" s="13">
        <v>27759</v>
      </c>
      <c r="B229" s="11">
        <v>138</v>
      </c>
      <c r="C229" s="8"/>
      <c r="D229" s="14">
        <v>4.0999999999999996</v>
      </c>
      <c r="E229" s="8"/>
      <c r="F229" s="14">
        <v>15.7</v>
      </c>
      <c r="G229" s="8"/>
    </row>
    <row r="230" spans="1:7" x14ac:dyDescent="0.2">
      <c r="A230" s="13">
        <v>27850</v>
      </c>
      <c r="B230" s="11">
        <v>145</v>
      </c>
      <c r="C230" s="8"/>
      <c r="D230" s="14">
        <v>4.4000000000000004</v>
      </c>
      <c r="E230" s="8"/>
      <c r="F230" s="14">
        <v>17.2</v>
      </c>
      <c r="G230" s="8"/>
    </row>
    <row r="231" spans="1:7" x14ac:dyDescent="0.2">
      <c r="A231" s="13">
        <v>27941</v>
      </c>
      <c r="B231" s="11">
        <v>151</v>
      </c>
      <c r="C231" s="8"/>
      <c r="D231" s="14">
        <v>4.5</v>
      </c>
      <c r="E231" s="8"/>
      <c r="F231" s="14">
        <v>17.7</v>
      </c>
      <c r="G231" s="8"/>
    </row>
    <row r="232" spans="1:7" x14ac:dyDescent="0.2">
      <c r="A232" s="13">
        <v>28033</v>
      </c>
      <c r="B232" s="11">
        <v>156</v>
      </c>
      <c r="C232" s="8"/>
      <c r="D232" s="14">
        <v>3.2</v>
      </c>
      <c r="E232" s="8"/>
      <c r="F232" s="14">
        <v>17.2</v>
      </c>
      <c r="G232" s="8"/>
    </row>
    <row r="233" spans="1:7" x14ac:dyDescent="0.2">
      <c r="A233" s="13">
        <v>28125</v>
      </c>
      <c r="B233" s="11">
        <v>160</v>
      </c>
      <c r="C233" s="8"/>
      <c r="D233" s="14">
        <v>2.8</v>
      </c>
      <c r="E233" s="8"/>
      <c r="F233" s="14">
        <v>15.6</v>
      </c>
      <c r="G233" s="8"/>
    </row>
    <row r="234" spans="1:7" x14ac:dyDescent="0.2">
      <c r="A234" s="13">
        <v>28215</v>
      </c>
      <c r="B234" s="11">
        <v>164</v>
      </c>
      <c r="C234" s="8"/>
      <c r="D234" s="14">
        <v>2.6</v>
      </c>
      <c r="E234" s="8"/>
      <c r="F234" s="14">
        <v>13.7</v>
      </c>
      <c r="G234" s="8"/>
    </row>
    <row r="235" spans="1:7" x14ac:dyDescent="0.2">
      <c r="A235" s="13">
        <v>28306</v>
      </c>
      <c r="B235" s="11">
        <v>172</v>
      </c>
      <c r="C235" s="8"/>
      <c r="D235" s="14">
        <v>4.8</v>
      </c>
      <c r="E235" s="8"/>
      <c r="F235" s="14">
        <v>14</v>
      </c>
      <c r="G235" s="8"/>
    </row>
    <row r="236" spans="1:7" x14ac:dyDescent="0.2">
      <c r="A236" s="13">
        <v>28398</v>
      </c>
      <c r="B236" s="11">
        <v>178</v>
      </c>
      <c r="C236" s="8"/>
      <c r="D236" s="14">
        <v>3.5</v>
      </c>
      <c r="E236" s="8"/>
      <c r="F236" s="14">
        <v>14.4</v>
      </c>
      <c r="G236" s="8"/>
    </row>
    <row r="237" spans="1:7" x14ac:dyDescent="0.2">
      <c r="A237" s="13">
        <v>28490</v>
      </c>
      <c r="B237" s="11">
        <v>185</v>
      </c>
      <c r="C237" s="8"/>
      <c r="D237" s="14">
        <v>3.6</v>
      </c>
      <c r="E237" s="8"/>
      <c r="F237" s="14">
        <v>15.3</v>
      </c>
      <c r="G237" s="8"/>
    </row>
    <row r="238" spans="1:7" x14ac:dyDescent="0.2">
      <c r="A238" s="13">
        <v>28580</v>
      </c>
      <c r="B238" s="11">
        <v>188</v>
      </c>
      <c r="C238" s="8"/>
      <c r="D238" s="14">
        <v>2</v>
      </c>
      <c r="E238" s="8"/>
      <c r="F238" s="14">
        <v>14.6</v>
      </c>
      <c r="G238" s="8"/>
    </row>
    <row r="239" spans="1:7" x14ac:dyDescent="0.2">
      <c r="A239" s="13">
        <v>28671</v>
      </c>
      <c r="B239" s="11">
        <v>193</v>
      </c>
      <c r="C239" s="8"/>
      <c r="D239" s="14">
        <v>2.6</v>
      </c>
      <c r="E239" s="8"/>
      <c r="F239" s="14">
        <v>12.3</v>
      </c>
      <c r="G239" s="8"/>
    </row>
    <row r="240" spans="1:7" x14ac:dyDescent="0.2">
      <c r="A240" s="13">
        <v>28763</v>
      </c>
      <c r="B240" s="11">
        <v>198</v>
      </c>
      <c r="C240" s="8"/>
      <c r="D240" s="14">
        <v>2.5</v>
      </c>
      <c r="E240" s="8"/>
      <c r="F240" s="14">
        <v>11.1</v>
      </c>
      <c r="G240" s="8"/>
    </row>
    <row r="241" spans="1:7" x14ac:dyDescent="0.2">
      <c r="A241" s="13">
        <v>28855</v>
      </c>
      <c r="B241" s="11">
        <v>203</v>
      </c>
      <c r="C241" s="8"/>
      <c r="D241" s="14">
        <v>2.6</v>
      </c>
      <c r="E241" s="8"/>
      <c r="F241" s="14">
        <v>10.1</v>
      </c>
      <c r="G241" s="8"/>
    </row>
    <row r="242" spans="1:7" x14ac:dyDescent="0.2">
      <c r="A242" s="13">
        <v>28945</v>
      </c>
      <c r="B242" s="11">
        <v>208</v>
      </c>
      <c r="C242" s="8"/>
      <c r="D242" s="14">
        <v>2.2999999999999998</v>
      </c>
      <c r="E242" s="8"/>
      <c r="F242" s="14">
        <v>10.4</v>
      </c>
      <c r="G242" s="8"/>
    </row>
    <row r="243" spans="1:7" x14ac:dyDescent="0.2">
      <c r="A243" s="13">
        <v>29036</v>
      </c>
      <c r="B243" s="11">
        <v>217</v>
      </c>
      <c r="C243" s="8"/>
      <c r="D243" s="14">
        <v>4.5</v>
      </c>
      <c r="E243" s="8"/>
      <c r="F243" s="14">
        <v>12.4</v>
      </c>
      <c r="G243" s="8"/>
    </row>
    <row r="244" spans="1:7" x14ac:dyDescent="0.2">
      <c r="A244" s="13">
        <v>29128</v>
      </c>
      <c r="B244" s="11">
        <v>228</v>
      </c>
      <c r="C244" s="8"/>
      <c r="D244" s="14">
        <v>5</v>
      </c>
      <c r="E244" s="8"/>
      <c r="F244" s="14">
        <v>15.2</v>
      </c>
      <c r="G244" s="8"/>
    </row>
    <row r="245" spans="1:7" x14ac:dyDescent="0.2">
      <c r="A245" s="13">
        <v>29220</v>
      </c>
      <c r="B245" s="11">
        <v>237</v>
      </c>
      <c r="C245" s="8"/>
      <c r="D245" s="14">
        <v>3.8</v>
      </c>
      <c r="E245" s="8"/>
      <c r="F245" s="14">
        <v>16.5</v>
      </c>
      <c r="G245" s="8"/>
    </row>
    <row r="246" spans="1:7" x14ac:dyDescent="0.2">
      <c r="A246" s="13">
        <v>29311</v>
      </c>
      <c r="B246" s="11">
        <v>246</v>
      </c>
      <c r="C246" s="8"/>
      <c r="D246" s="14">
        <v>3.9</v>
      </c>
      <c r="E246" s="8"/>
      <c r="F246" s="14">
        <v>18.399999999999999</v>
      </c>
      <c r="G246" s="8"/>
    </row>
    <row r="247" spans="1:7" x14ac:dyDescent="0.2">
      <c r="A247" s="13">
        <v>29402</v>
      </c>
      <c r="B247" s="11">
        <v>256</v>
      </c>
      <c r="C247" s="8"/>
      <c r="D247" s="14">
        <v>4.0999999999999996</v>
      </c>
      <c r="E247" s="8"/>
      <c r="F247" s="14">
        <v>17.899999999999999</v>
      </c>
      <c r="G247" s="8"/>
    </row>
    <row r="248" spans="1:7" x14ac:dyDescent="0.2">
      <c r="A248" s="13">
        <v>29494</v>
      </c>
      <c r="B248" s="11">
        <v>265</v>
      </c>
      <c r="C248" s="8"/>
      <c r="D248" s="14">
        <v>3.6</v>
      </c>
      <c r="E248" s="8"/>
      <c r="F248" s="14">
        <v>16.3</v>
      </c>
      <c r="G248" s="8"/>
    </row>
    <row r="249" spans="1:7" x14ac:dyDescent="0.2">
      <c r="A249" s="13">
        <v>29586</v>
      </c>
      <c r="B249" s="11">
        <v>275</v>
      </c>
      <c r="C249" s="8"/>
      <c r="D249" s="14">
        <v>3.6</v>
      </c>
      <c r="E249" s="8"/>
      <c r="F249" s="14">
        <v>16.100000000000001</v>
      </c>
      <c r="G249" s="8"/>
    </row>
    <row r="250" spans="1:7" x14ac:dyDescent="0.2">
      <c r="A250" s="13">
        <v>29676</v>
      </c>
      <c r="B250" s="11">
        <v>284</v>
      </c>
      <c r="C250" s="8"/>
      <c r="D250" s="14">
        <v>3.1</v>
      </c>
      <c r="E250" s="8"/>
      <c r="F250" s="14">
        <v>15.2</v>
      </c>
      <c r="G250" s="8"/>
    </row>
    <row r="251" spans="1:7" x14ac:dyDescent="0.2">
      <c r="A251" s="13">
        <v>29767</v>
      </c>
      <c r="B251" s="11">
        <v>295</v>
      </c>
      <c r="C251" s="8"/>
      <c r="D251" s="14">
        <v>4</v>
      </c>
      <c r="E251" s="8"/>
      <c r="F251" s="14">
        <v>15.1</v>
      </c>
      <c r="G251" s="8"/>
    </row>
    <row r="252" spans="1:7" x14ac:dyDescent="0.2">
      <c r="A252" s="13">
        <v>29859</v>
      </c>
      <c r="B252" s="11">
        <v>306</v>
      </c>
      <c r="C252" s="8"/>
      <c r="D252" s="14">
        <v>3.9</v>
      </c>
      <c r="E252" s="8"/>
      <c r="F252" s="14">
        <v>15.4</v>
      </c>
      <c r="G252" s="8"/>
    </row>
    <row r="253" spans="1:7" x14ac:dyDescent="0.2">
      <c r="A253" s="13">
        <v>29951</v>
      </c>
      <c r="B253" s="11">
        <v>318</v>
      </c>
      <c r="C253" s="8"/>
      <c r="D253" s="14">
        <v>3.9</v>
      </c>
      <c r="E253" s="8"/>
      <c r="F253" s="14">
        <v>15.7</v>
      </c>
      <c r="G253" s="8"/>
    </row>
    <row r="254" spans="1:7" x14ac:dyDescent="0.2">
      <c r="A254" s="13">
        <v>30041</v>
      </c>
      <c r="B254" s="11">
        <v>328</v>
      </c>
      <c r="C254" s="8"/>
      <c r="D254" s="14">
        <v>3.2</v>
      </c>
      <c r="E254" s="8"/>
      <c r="F254" s="14">
        <v>15.8</v>
      </c>
      <c r="G254" s="8"/>
    </row>
    <row r="255" spans="1:7" x14ac:dyDescent="0.2">
      <c r="A255" s="13">
        <v>30132</v>
      </c>
      <c r="B255" s="11">
        <v>345</v>
      </c>
      <c r="C255" s="8"/>
      <c r="D255" s="14">
        <v>5</v>
      </c>
      <c r="E255" s="8"/>
      <c r="F255" s="14">
        <v>17</v>
      </c>
      <c r="G255" s="8"/>
    </row>
    <row r="256" spans="1:7" x14ac:dyDescent="0.2">
      <c r="A256" s="13">
        <v>30224</v>
      </c>
      <c r="B256" s="11">
        <v>357</v>
      </c>
      <c r="C256" s="8"/>
      <c r="D256" s="14">
        <v>3.6</v>
      </c>
      <c r="E256" s="8"/>
      <c r="F256" s="14">
        <v>16.600000000000001</v>
      </c>
      <c r="G256" s="8"/>
    </row>
    <row r="257" spans="1:7" x14ac:dyDescent="0.2">
      <c r="A257" s="13">
        <v>30316</v>
      </c>
      <c r="B257" s="11">
        <v>367</v>
      </c>
      <c r="C257" s="8"/>
      <c r="D257" s="14">
        <v>2.7</v>
      </c>
      <c r="E257" s="8"/>
      <c r="F257" s="14">
        <v>15.3</v>
      </c>
      <c r="G257" s="8"/>
    </row>
    <row r="258" spans="1:7" x14ac:dyDescent="0.2">
      <c r="A258" s="13">
        <v>30406</v>
      </c>
      <c r="B258" s="11">
        <v>370</v>
      </c>
      <c r="C258" s="8"/>
      <c r="D258" s="14">
        <v>0.8</v>
      </c>
      <c r="E258" s="8"/>
      <c r="F258" s="14">
        <v>12.6</v>
      </c>
      <c r="G258" s="8"/>
    </row>
    <row r="259" spans="1:7" x14ac:dyDescent="0.2">
      <c r="A259" s="13">
        <v>30497</v>
      </c>
      <c r="B259" s="11">
        <v>374</v>
      </c>
      <c r="C259" s="8"/>
      <c r="D259" s="14">
        <v>1</v>
      </c>
      <c r="E259" s="8"/>
      <c r="F259" s="14">
        <v>8.3000000000000007</v>
      </c>
      <c r="G259" s="8"/>
    </row>
    <row r="260" spans="1:7" x14ac:dyDescent="0.2">
      <c r="A260" s="13">
        <v>30589</v>
      </c>
      <c r="B260" s="11">
        <v>377</v>
      </c>
      <c r="C260" s="8"/>
      <c r="D260" s="14">
        <v>0.8</v>
      </c>
      <c r="E260" s="8"/>
      <c r="F260" s="14">
        <v>5.4</v>
      </c>
      <c r="G260" s="8"/>
    </row>
    <row r="261" spans="1:7" x14ac:dyDescent="0.2">
      <c r="A261" s="13">
        <v>30681</v>
      </c>
      <c r="B261" s="11">
        <v>380</v>
      </c>
      <c r="C261" s="8"/>
      <c r="D261" s="14">
        <v>0.9</v>
      </c>
      <c r="E261" s="8"/>
      <c r="F261" s="14">
        <v>3.6</v>
      </c>
      <c r="G261" s="8"/>
    </row>
    <row r="262" spans="1:7" x14ac:dyDescent="0.2">
      <c r="A262" s="13">
        <v>30772</v>
      </c>
      <c r="B262" s="11">
        <v>383</v>
      </c>
      <c r="C262" s="8"/>
      <c r="D262" s="14">
        <v>0.7</v>
      </c>
      <c r="E262" s="8"/>
      <c r="F262" s="14">
        <v>3.5</v>
      </c>
      <c r="G262" s="8"/>
    </row>
    <row r="263" spans="1:7" x14ac:dyDescent="0.2">
      <c r="A263" s="13">
        <v>30863</v>
      </c>
      <c r="B263" s="11">
        <v>391</v>
      </c>
      <c r="C263" s="8"/>
      <c r="D263" s="14">
        <v>2.2000000000000002</v>
      </c>
      <c r="E263" s="8"/>
      <c r="F263" s="14">
        <v>4.7</v>
      </c>
      <c r="G263" s="8"/>
    </row>
    <row r="264" spans="1:7" x14ac:dyDescent="0.2">
      <c r="A264" s="13">
        <v>30955</v>
      </c>
      <c r="B264" s="11">
        <v>403</v>
      </c>
      <c r="C264" s="8"/>
      <c r="D264" s="14">
        <v>3</v>
      </c>
      <c r="E264" s="8"/>
      <c r="F264" s="14">
        <v>7</v>
      </c>
      <c r="G264" s="8"/>
    </row>
    <row r="265" spans="1:7" x14ac:dyDescent="0.2">
      <c r="A265" s="13">
        <v>31047</v>
      </c>
      <c r="B265" s="11">
        <v>416</v>
      </c>
      <c r="C265" s="8"/>
      <c r="D265" s="14">
        <v>3.2</v>
      </c>
      <c r="E265" s="8"/>
      <c r="F265" s="14">
        <v>9.4</v>
      </c>
      <c r="G265" s="8"/>
    </row>
    <row r="266" spans="1:7" x14ac:dyDescent="0.2">
      <c r="A266" s="13">
        <v>31137</v>
      </c>
      <c r="B266" s="11">
        <v>434</v>
      </c>
      <c r="C266" s="8"/>
      <c r="D266" s="14">
        <v>4.4000000000000004</v>
      </c>
      <c r="E266" s="8"/>
      <c r="F266" s="14">
        <v>13.4</v>
      </c>
      <c r="G266" s="8"/>
    </row>
    <row r="267" spans="1:7" x14ac:dyDescent="0.2">
      <c r="A267" s="13">
        <v>31228</v>
      </c>
      <c r="B267" s="11">
        <v>456</v>
      </c>
      <c r="C267" s="8"/>
      <c r="D267" s="14">
        <v>5.0999999999999996</v>
      </c>
      <c r="E267" s="8"/>
      <c r="F267" s="14">
        <v>16.600000000000001</v>
      </c>
      <c r="G267" s="8"/>
    </row>
    <row r="268" spans="1:7" x14ac:dyDescent="0.2">
      <c r="A268" s="13">
        <v>31320</v>
      </c>
      <c r="B268" s="11">
        <v>469</v>
      </c>
      <c r="C268" s="8"/>
      <c r="D268" s="14">
        <v>2.8</v>
      </c>
      <c r="E268" s="8"/>
      <c r="F268" s="14">
        <v>16.3</v>
      </c>
      <c r="G268" s="8"/>
    </row>
    <row r="269" spans="1:7" x14ac:dyDescent="0.2">
      <c r="A269" s="13">
        <v>31412</v>
      </c>
      <c r="B269" s="11">
        <v>479</v>
      </c>
      <c r="C269" s="8"/>
      <c r="D269" s="14">
        <v>2.2999999999999998</v>
      </c>
      <c r="E269" s="8"/>
      <c r="F269" s="14">
        <v>15.3</v>
      </c>
      <c r="G269" s="8"/>
    </row>
    <row r="270" spans="1:7" x14ac:dyDescent="0.2">
      <c r="A270" s="13">
        <v>31502</v>
      </c>
      <c r="B270" s="11">
        <v>490</v>
      </c>
      <c r="C270" s="8"/>
      <c r="D270" s="14">
        <v>2.2999999999999998</v>
      </c>
      <c r="E270" s="8"/>
      <c r="F270" s="14">
        <v>13</v>
      </c>
      <c r="G270" s="8"/>
    </row>
    <row r="271" spans="1:7" x14ac:dyDescent="0.2">
      <c r="A271" s="13">
        <v>31593</v>
      </c>
      <c r="B271" s="11">
        <v>504</v>
      </c>
      <c r="C271" s="8"/>
      <c r="D271" s="14">
        <v>2.7</v>
      </c>
      <c r="E271" s="8"/>
      <c r="F271" s="14">
        <v>10.4</v>
      </c>
      <c r="G271" s="8"/>
    </row>
    <row r="272" spans="1:7" x14ac:dyDescent="0.2">
      <c r="A272" s="13">
        <v>31685</v>
      </c>
      <c r="B272" s="11">
        <v>520</v>
      </c>
      <c r="C272" s="8"/>
      <c r="D272" s="14">
        <v>3.3</v>
      </c>
      <c r="E272" s="8"/>
      <c r="F272" s="14">
        <v>11</v>
      </c>
      <c r="G272" s="8"/>
    </row>
    <row r="273" spans="1:7" x14ac:dyDescent="0.2">
      <c r="A273" s="13">
        <v>31777</v>
      </c>
      <c r="B273" s="11">
        <v>567</v>
      </c>
      <c r="C273" s="8"/>
      <c r="D273" s="14">
        <v>8.9</v>
      </c>
      <c r="E273" s="8"/>
      <c r="F273" s="14">
        <v>18.2</v>
      </c>
      <c r="G273" s="8"/>
    </row>
    <row r="274" spans="1:7" x14ac:dyDescent="0.2">
      <c r="A274" s="13">
        <v>31867</v>
      </c>
      <c r="B274" s="11">
        <v>580</v>
      </c>
      <c r="C274" s="8"/>
      <c r="D274" s="14">
        <v>2.2999999999999998</v>
      </c>
      <c r="E274" s="8"/>
      <c r="F274" s="14">
        <v>18.3</v>
      </c>
      <c r="G274" s="8"/>
    </row>
    <row r="275" spans="1:7" x14ac:dyDescent="0.2">
      <c r="A275" s="13">
        <v>31958</v>
      </c>
      <c r="B275" s="11">
        <v>599</v>
      </c>
      <c r="C275" s="8"/>
      <c r="D275" s="14">
        <v>3.3</v>
      </c>
      <c r="E275" s="8"/>
      <c r="F275" s="14">
        <v>18.899999999999999</v>
      </c>
      <c r="G275" s="8"/>
    </row>
    <row r="276" spans="1:7" x14ac:dyDescent="0.2">
      <c r="A276" s="13">
        <v>32050</v>
      </c>
      <c r="B276" s="11">
        <v>609</v>
      </c>
      <c r="C276" s="8"/>
      <c r="D276" s="14">
        <v>1.6</v>
      </c>
      <c r="E276" s="8"/>
      <c r="F276" s="14">
        <v>16.899999999999999</v>
      </c>
      <c r="G276" s="8"/>
    </row>
    <row r="277" spans="1:7" x14ac:dyDescent="0.2">
      <c r="A277" s="13">
        <v>32142</v>
      </c>
      <c r="B277" s="11">
        <v>621</v>
      </c>
      <c r="C277" s="8"/>
      <c r="D277" s="14">
        <v>2.1</v>
      </c>
      <c r="E277" s="8"/>
      <c r="F277" s="14">
        <v>9.6</v>
      </c>
      <c r="G277" s="8"/>
    </row>
    <row r="278" spans="1:7" x14ac:dyDescent="0.2">
      <c r="A278" s="13">
        <v>32233</v>
      </c>
      <c r="B278" s="11">
        <v>632</v>
      </c>
      <c r="C278" s="8"/>
      <c r="D278" s="14">
        <v>1.8</v>
      </c>
      <c r="E278" s="8"/>
      <c r="F278" s="14">
        <v>9</v>
      </c>
      <c r="G278" s="8"/>
    </row>
    <row r="279" spans="1:7" x14ac:dyDescent="0.2">
      <c r="A279" s="13">
        <v>32324</v>
      </c>
      <c r="B279" s="11">
        <v>637</v>
      </c>
      <c r="C279" s="8"/>
      <c r="D279" s="14">
        <v>0.8</v>
      </c>
      <c r="E279" s="8"/>
      <c r="F279" s="14">
        <v>6.3</v>
      </c>
      <c r="G279" s="8"/>
    </row>
    <row r="280" spans="1:7" x14ac:dyDescent="0.2">
      <c r="A280" s="13">
        <v>32416</v>
      </c>
      <c r="B280" s="11">
        <v>643</v>
      </c>
      <c r="C280" s="8"/>
      <c r="D280" s="14">
        <v>0.9</v>
      </c>
      <c r="E280" s="8"/>
      <c r="F280" s="14">
        <v>5.6</v>
      </c>
      <c r="G280" s="8"/>
    </row>
    <row r="281" spans="1:7" x14ac:dyDescent="0.2">
      <c r="A281" s="13">
        <v>32508</v>
      </c>
      <c r="B281" s="11">
        <v>650</v>
      </c>
      <c r="C281" s="8"/>
      <c r="D281" s="14">
        <v>1.2</v>
      </c>
      <c r="E281" s="8"/>
      <c r="F281" s="14">
        <v>4.7</v>
      </c>
      <c r="G281" s="8"/>
    </row>
    <row r="282" spans="1:7" x14ac:dyDescent="0.2">
      <c r="A282" s="13">
        <v>32598</v>
      </c>
      <c r="B282" s="11">
        <v>658</v>
      </c>
      <c r="C282" s="8"/>
      <c r="D282" s="14">
        <v>1.1000000000000001</v>
      </c>
      <c r="E282" s="8"/>
      <c r="F282" s="14">
        <v>4</v>
      </c>
      <c r="G282" s="8"/>
    </row>
    <row r="283" spans="1:7" x14ac:dyDescent="0.2">
      <c r="A283" s="13">
        <v>32689</v>
      </c>
      <c r="B283" s="11">
        <v>665</v>
      </c>
      <c r="C283" s="8"/>
      <c r="D283" s="14">
        <v>1.2</v>
      </c>
      <c r="E283" s="8"/>
      <c r="F283" s="14">
        <v>4.4000000000000004</v>
      </c>
      <c r="G283" s="8"/>
    </row>
    <row r="284" spans="1:7" x14ac:dyDescent="0.2">
      <c r="A284" s="13">
        <v>32781</v>
      </c>
      <c r="B284" s="11">
        <v>689</v>
      </c>
      <c r="C284" s="8"/>
      <c r="D284" s="14">
        <v>3.5</v>
      </c>
      <c r="E284" s="8"/>
      <c r="F284" s="14">
        <v>7.2</v>
      </c>
      <c r="G284" s="8"/>
    </row>
    <row r="285" spans="1:7" x14ac:dyDescent="0.2">
      <c r="A285" s="13">
        <v>32873</v>
      </c>
      <c r="B285" s="11">
        <v>697</v>
      </c>
      <c r="C285" s="8"/>
      <c r="D285" s="14">
        <v>1.2</v>
      </c>
      <c r="E285" s="8"/>
      <c r="F285" s="14">
        <v>7.2</v>
      </c>
      <c r="G285" s="8"/>
    </row>
    <row r="286" spans="1:7" x14ac:dyDescent="0.2">
      <c r="A286" s="13">
        <v>32963</v>
      </c>
      <c r="B286" s="11">
        <v>704</v>
      </c>
      <c r="C286" s="8"/>
      <c r="D286" s="14">
        <v>0.9</v>
      </c>
      <c r="E286" s="8"/>
      <c r="F286" s="14">
        <v>7</v>
      </c>
      <c r="G286" s="8"/>
    </row>
    <row r="287" spans="1:7" x14ac:dyDescent="0.2">
      <c r="A287" s="13">
        <v>33054</v>
      </c>
      <c r="B287" s="11">
        <v>716</v>
      </c>
      <c r="C287" s="8"/>
      <c r="D287" s="14">
        <v>1.8</v>
      </c>
      <c r="E287" s="8"/>
      <c r="F287" s="14">
        <v>7.6</v>
      </c>
      <c r="G287" s="8"/>
    </row>
    <row r="288" spans="1:7" x14ac:dyDescent="0.2">
      <c r="A288" s="13">
        <v>33146</v>
      </c>
      <c r="B288" s="11">
        <v>723</v>
      </c>
      <c r="C288" s="8"/>
      <c r="D288" s="14">
        <v>1</v>
      </c>
      <c r="E288" s="8"/>
      <c r="F288" s="14">
        <v>5</v>
      </c>
      <c r="G288" s="8"/>
    </row>
    <row r="289" spans="1:7" x14ac:dyDescent="0.2">
      <c r="A289" s="13">
        <v>33238</v>
      </c>
      <c r="B289" s="11">
        <v>731</v>
      </c>
      <c r="C289" s="8"/>
      <c r="D289" s="14">
        <v>1.1000000000000001</v>
      </c>
      <c r="E289" s="8"/>
      <c r="F289" s="14">
        <v>4.9000000000000004</v>
      </c>
      <c r="G289" s="8"/>
    </row>
    <row r="290" spans="1:7" x14ac:dyDescent="0.2">
      <c r="A290" s="13">
        <v>33328</v>
      </c>
      <c r="B290" s="11">
        <v>736</v>
      </c>
      <c r="C290" s="8"/>
      <c r="D290" s="14">
        <v>0.6</v>
      </c>
      <c r="E290" s="8"/>
      <c r="F290" s="14">
        <v>4.5</v>
      </c>
      <c r="G290" s="8"/>
    </row>
    <row r="291" spans="1:7" x14ac:dyDescent="0.2">
      <c r="A291" s="13">
        <v>33419</v>
      </c>
      <c r="B291" s="11">
        <v>736</v>
      </c>
      <c r="C291" s="8"/>
      <c r="D291" s="14">
        <v>0.1</v>
      </c>
      <c r="E291" s="8"/>
      <c r="F291" s="14">
        <v>2.8</v>
      </c>
      <c r="G291" s="8"/>
    </row>
    <row r="292" spans="1:7" x14ac:dyDescent="0.2">
      <c r="A292" s="13">
        <v>33511</v>
      </c>
      <c r="B292" s="11">
        <v>739</v>
      </c>
      <c r="C292" s="8"/>
      <c r="D292" s="14">
        <v>0.4</v>
      </c>
      <c r="E292" s="8"/>
      <c r="F292" s="14">
        <v>2.2000000000000002</v>
      </c>
      <c r="G292" s="8"/>
    </row>
    <row r="293" spans="1:7" x14ac:dyDescent="0.2">
      <c r="A293" s="13">
        <v>33603</v>
      </c>
      <c r="B293" s="11">
        <v>738</v>
      </c>
      <c r="C293" s="8"/>
      <c r="D293" s="14">
        <v>-0.1</v>
      </c>
      <c r="E293" s="8"/>
      <c r="F293" s="14">
        <v>1</v>
      </c>
      <c r="G293" s="8"/>
    </row>
    <row r="294" spans="1:7" x14ac:dyDescent="0.2">
      <c r="A294" s="13">
        <v>33694</v>
      </c>
      <c r="B294" s="11">
        <v>741</v>
      </c>
      <c r="C294" s="8"/>
      <c r="D294" s="14">
        <v>0.4</v>
      </c>
      <c r="E294" s="8"/>
      <c r="F294" s="14">
        <v>0.8</v>
      </c>
      <c r="G294" s="8"/>
    </row>
    <row r="295" spans="1:7" x14ac:dyDescent="0.2">
      <c r="A295" s="13">
        <v>33785</v>
      </c>
      <c r="B295" s="11">
        <v>743</v>
      </c>
      <c r="C295" s="8"/>
      <c r="D295" s="14">
        <v>0.3</v>
      </c>
      <c r="E295" s="8"/>
      <c r="F295" s="14">
        <v>1</v>
      </c>
      <c r="G295" s="8"/>
    </row>
    <row r="296" spans="1:7" x14ac:dyDescent="0.2">
      <c r="A296" s="13">
        <v>33877</v>
      </c>
      <c r="B296" s="11">
        <v>746</v>
      </c>
      <c r="C296" s="8"/>
      <c r="D296" s="14">
        <v>0.3</v>
      </c>
      <c r="E296" s="8"/>
      <c r="F296" s="14">
        <v>1</v>
      </c>
      <c r="G296" s="8"/>
    </row>
    <row r="297" spans="1:7" x14ac:dyDescent="0.2">
      <c r="A297" s="13">
        <v>33969</v>
      </c>
      <c r="B297" s="11">
        <v>748</v>
      </c>
      <c r="C297" s="8"/>
      <c r="D297" s="14">
        <v>0.3</v>
      </c>
      <c r="E297" s="8"/>
      <c r="F297" s="14">
        <v>1.3</v>
      </c>
      <c r="G297" s="8"/>
    </row>
    <row r="298" spans="1:7" x14ac:dyDescent="0.2">
      <c r="A298" s="13">
        <v>34059</v>
      </c>
      <c r="B298" s="11">
        <v>749</v>
      </c>
      <c r="C298" s="8"/>
      <c r="D298" s="14">
        <v>0.1</v>
      </c>
      <c r="E298" s="8"/>
      <c r="F298" s="14">
        <v>1</v>
      </c>
      <c r="G298" s="8"/>
    </row>
    <row r="299" spans="1:7" x14ac:dyDescent="0.2">
      <c r="A299" s="13">
        <v>34150</v>
      </c>
      <c r="B299" s="11">
        <v>753</v>
      </c>
      <c r="C299" s="8"/>
      <c r="D299" s="14">
        <v>0.6</v>
      </c>
      <c r="E299" s="8"/>
      <c r="F299" s="14">
        <v>1.3</v>
      </c>
      <c r="G299" s="8"/>
    </row>
    <row r="300" spans="1:7" x14ac:dyDescent="0.2">
      <c r="A300" s="13">
        <v>34242</v>
      </c>
      <c r="B300" s="11">
        <v>757</v>
      </c>
      <c r="C300" s="8"/>
      <c r="D300" s="14">
        <v>0.5</v>
      </c>
      <c r="E300" s="8"/>
      <c r="F300" s="14">
        <v>1.5</v>
      </c>
      <c r="G300" s="8"/>
    </row>
    <row r="301" spans="1:7" x14ac:dyDescent="0.2">
      <c r="A301" s="13">
        <v>34334</v>
      </c>
      <c r="B301" s="11">
        <v>758</v>
      </c>
      <c r="C301" s="8"/>
      <c r="D301" s="14">
        <v>0.2</v>
      </c>
      <c r="E301" s="8"/>
      <c r="F301" s="14">
        <v>1.4</v>
      </c>
      <c r="G301" s="8"/>
    </row>
    <row r="302" spans="1:7" x14ac:dyDescent="0.2">
      <c r="A302" s="13">
        <v>34424</v>
      </c>
      <c r="B302" s="11">
        <v>758</v>
      </c>
      <c r="C302" s="8"/>
      <c r="D302" s="12" t="s">
        <v>108</v>
      </c>
      <c r="E302" s="8"/>
      <c r="F302" s="14">
        <v>1.3</v>
      </c>
      <c r="G302" s="8"/>
    </row>
    <row r="303" spans="1:7" x14ac:dyDescent="0.2">
      <c r="A303" s="13">
        <v>34515</v>
      </c>
      <c r="B303" s="11">
        <v>761</v>
      </c>
      <c r="C303" s="8"/>
      <c r="D303" s="14">
        <v>0.4</v>
      </c>
      <c r="E303" s="8"/>
      <c r="F303" s="14">
        <v>1.1000000000000001</v>
      </c>
      <c r="G303" s="8"/>
    </row>
    <row r="304" spans="1:7" x14ac:dyDescent="0.2">
      <c r="A304" s="13">
        <v>34607</v>
      </c>
      <c r="B304" s="11">
        <v>771</v>
      </c>
      <c r="C304" s="8"/>
      <c r="D304" s="14">
        <v>1.2</v>
      </c>
      <c r="E304" s="8"/>
      <c r="F304" s="14">
        <v>1.8</v>
      </c>
      <c r="G304" s="8"/>
    </row>
    <row r="305" spans="1:7" x14ac:dyDescent="0.2">
      <c r="A305" s="13">
        <v>34699</v>
      </c>
      <c r="B305" s="11">
        <v>780</v>
      </c>
      <c r="C305" s="8"/>
      <c r="D305" s="14">
        <v>1.2</v>
      </c>
      <c r="E305" s="8"/>
      <c r="F305" s="14">
        <v>2.8</v>
      </c>
      <c r="G305" s="8"/>
    </row>
    <row r="306" spans="1:7" x14ac:dyDescent="0.2">
      <c r="A306" s="13">
        <v>34789</v>
      </c>
      <c r="B306" s="11">
        <v>789</v>
      </c>
      <c r="C306" s="8"/>
      <c r="D306" s="14">
        <v>1.2</v>
      </c>
      <c r="E306" s="8"/>
      <c r="F306" s="14">
        <v>4</v>
      </c>
      <c r="G306" s="8"/>
    </row>
    <row r="307" spans="1:7" x14ac:dyDescent="0.2">
      <c r="A307" s="13">
        <v>34880</v>
      </c>
      <c r="B307" s="11">
        <v>796</v>
      </c>
      <c r="C307" s="8"/>
      <c r="D307" s="14">
        <v>1</v>
      </c>
      <c r="E307" s="8"/>
      <c r="F307" s="14">
        <v>4.5999999999999996</v>
      </c>
      <c r="G307" s="8"/>
    </row>
    <row r="308" spans="1:7" x14ac:dyDescent="0.2">
      <c r="A308" s="13">
        <v>34972</v>
      </c>
      <c r="B308" s="11">
        <v>798</v>
      </c>
      <c r="C308" s="8"/>
      <c r="D308" s="14">
        <v>0.2</v>
      </c>
      <c r="E308" s="8"/>
      <c r="F308" s="14">
        <v>3.5</v>
      </c>
      <c r="G308" s="8"/>
    </row>
    <row r="309" spans="1:7" x14ac:dyDescent="0.2">
      <c r="A309" s="13">
        <v>35064</v>
      </c>
      <c r="B309" s="11">
        <v>802</v>
      </c>
      <c r="C309" s="8"/>
      <c r="D309" s="14">
        <v>0.6</v>
      </c>
      <c r="E309" s="8"/>
      <c r="F309" s="14">
        <v>2.9</v>
      </c>
      <c r="G309" s="8"/>
    </row>
    <row r="310" spans="1:7" x14ac:dyDescent="0.2">
      <c r="A310" s="13">
        <v>35155</v>
      </c>
      <c r="B310" s="11">
        <v>806</v>
      </c>
      <c r="C310" s="8"/>
      <c r="D310" s="14">
        <v>0.5</v>
      </c>
      <c r="E310" s="8"/>
      <c r="F310" s="14">
        <v>2.2000000000000002</v>
      </c>
      <c r="G310" s="8"/>
    </row>
    <row r="311" spans="1:7" x14ac:dyDescent="0.2">
      <c r="A311" s="13">
        <v>35246</v>
      </c>
      <c r="B311" s="11">
        <v>812</v>
      </c>
      <c r="C311" s="8"/>
      <c r="D311" s="14">
        <v>0.8</v>
      </c>
      <c r="E311" s="8"/>
      <c r="F311" s="14">
        <v>2</v>
      </c>
      <c r="G311" s="8"/>
    </row>
    <row r="312" spans="1:7" x14ac:dyDescent="0.2">
      <c r="A312" s="13">
        <v>35338</v>
      </c>
      <c r="B312" s="11">
        <v>817</v>
      </c>
      <c r="C312" s="8"/>
      <c r="D312" s="14">
        <v>0.6</v>
      </c>
      <c r="E312" s="8"/>
      <c r="F312" s="14">
        <v>2.4</v>
      </c>
      <c r="G312" s="8"/>
    </row>
    <row r="313" spans="1:7" x14ac:dyDescent="0.2">
      <c r="A313" s="13">
        <v>35430</v>
      </c>
      <c r="B313" s="11">
        <v>823</v>
      </c>
      <c r="C313" s="8"/>
      <c r="D313" s="14">
        <v>0.7</v>
      </c>
      <c r="E313" s="8"/>
      <c r="F313" s="14">
        <v>2.6</v>
      </c>
      <c r="G313" s="8"/>
    </row>
    <row r="314" spans="1:7" x14ac:dyDescent="0.2">
      <c r="A314" s="13">
        <v>35520</v>
      </c>
      <c r="B314" s="11">
        <v>821</v>
      </c>
      <c r="C314" s="8"/>
      <c r="D314" s="14">
        <v>-0.3</v>
      </c>
      <c r="E314" s="8"/>
      <c r="F314" s="14">
        <v>1.8</v>
      </c>
      <c r="G314" s="8"/>
    </row>
    <row r="315" spans="1:7" x14ac:dyDescent="0.2">
      <c r="A315" s="13">
        <v>35611</v>
      </c>
      <c r="B315" s="11">
        <v>821</v>
      </c>
      <c r="C315" s="8"/>
      <c r="D315" s="14">
        <v>0.1</v>
      </c>
      <c r="E315" s="8"/>
      <c r="F315" s="14">
        <v>1.1000000000000001</v>
      </c>
      <c r="G315" s="8"/>
    </row>
    <row r="316" spans="1:7" x14ac:dyDescent="0.2">
      <c r="A316" s="13">
        <v>35703</v>
      </c>
      <c r="B316" s="11">
        <v>825</v>
      </c>
      <c r="C316" s="8"/>
      <c r="D316" s="14">
        <v>0.5</v>
      </c>
      <c r="E316" s="8"/>
      <c r="F316" s="14">
        <v>1</v>
      </c>
      <c r="G316" s="8"/>
    </row>
    <row r="317" spans="1:7" x14ac:dyDescent="0.2">
      <c r="A317" s="13">
        <v>35795</v>
      </c>
      <c r="B317" s="11">
        <v>830</v>
      </c>
      <c r="C317" s="8"/>
      <c r="D317" s="14">
        <v>0.6</v>
      </c>
      <c r="E317" s="8"/>
      <c r="F317" s="14">
        <v>0.8</v>
      </c>
      <c r="G317" s="8"/>
    </row>
    <row r="318" spans="1:7" x14ac:dyDescent="0.2">
      <c r="A318" s="13">
        <v>35885</v>
      </c>
      <c r="B318" s="11">
        <v>831</v>
      </c>
      <c r="C318" s="8"/>
      <c r="D318" s="14">
        <v>0.2</v>
      </c>
      <c r="E318" s="8"/>
      <c r="F318" s="14">
        <v>1.3</v>
      </c>
      <c r="G318" s="8"/>
    </row>
    <row r="319" spans="1:7" x14ac:dyDescent="0.2">
      <c r="A319" s="13">
        <v>35976</v>
      </c>
      <c r="B319" s="11">
        <v>835</v>
      </c>
      <c r="C319" s="8"/>
      <c r="D319" s="14">
        <v>0.5</v>
      </c>
      <c r="E319" s="8"/>
      <c r="F319" s="14">
        <v>1.7</v>
      </c>
      <c r="G319" s="8"/>
    </row>
    <row r="320" spans="1:7" x14ac:dyDescent="0.2">
      <c r="A320" s="13">
        <v>36068</v>
      </c>
      <c r="B320" s="11">
        <v>840</v>
      </c>
      <c r="C320" s="8"/>
      <c r="D320" s="14">
        <v>0.5</v>
      </c>
      <c r="E320" s="8"/>
      <c r="F320" s="14">
        <v>1.7</v>
      </c>
      <c r="G320" s="8"/>
    </row>
    <row r="321" spans="1:7" x14ac:dyDescent="0.2">
      <c r="A321" s="13">
        <v>36160</v>
      </c>
      <c r="B321" s="11">
        <v>833</v>
      </c>
      <c r="C321" s="8"/>
      <c r="D321" s="14">
        <v>-0.8</v>
      </c>
      <c r="E321" s="8"/>
      <c r="F321" s="14">
        <v>0.4</v>
      </c>
      <c r="G321" s="8"/>
    </row>
    <row r="322" spans="1:7" x14ac:dyDescent="0.2">
      <c r="A322" s="13">
        <v>36250</v>
      </c>
      <c r="B322" s="11">
        <v>830</v>
      </c>
      <c r="C322" s="8"/>
      <c r="D322" s="14">
        <v>-0.3</v>
      </c>
      <c r="E322" s="8"/>
      <c r="F322" s="14">
        <v>-0.1</v>
      </c>
      <c r="G322" s="8"/>
    </row>
    <row r="323" spans="1:7" x14ac:dyDescent="0.2">
      <c r="A323" s="13">
        <v>36341</v>
      </c>
      <c r="B323" s="11">
        <v>832</v>
      </c>
      <c r="C323" s="8"/>
      <c r="D323" s="14">
        <v>0.2</v>
      </c>
      <c r="E323" s="8"/>
      <c r="F323" s="14">
        <v>-0.4</v>
      </c>
      <c r="G323" s="8"/>
    </row>
    <row r="324" spans="1:7" x14ac:dyDescent="0.2">
      <c r="A324" s="13">
        <v>36433</v>
      </c>
      <c r="B324" s="11">
        <v>835</v>
      </c>
      <c r="C324" s="8"/>
      <c r="D324" s="14">
        <v>0.4</v>
      </c>
      <c r="E324" s="8"/>
      <c r="F324" s="14">
        <v>-0.5</v>
      </c>
      <c r="G324" s="8"/>
    </row>
    <row r="325" spans="1:7" x14ac:dyDescent="0.2">
      <c r="A325" s="13">
        <v>36525</v>
      </c>
      <c r="B325" s="11">
        <v>837</v>
      </c>
      <c r="C325" s="8"/>
      <c r="D325" s="14">
        <v>0.2</v>
      </c>
      <c r="E325" s="8"/>
      <c r="F325" s="14">
        <v>0.5</v>
      </c>
      <c r="G325" s="8"/>
    </row>
    <row r="326" spans="1:7" x14ac:dyDescent="0.2">
      <c r="A326" s="13">
        <v>36616</v>
      </c>
      <c r="B326" s="11">
        <v>843</v>
      </c>
      <c r="C326" s="8"/>
      <c r="D326" s="14">
        <v>0.7</v>
      </c>
      <c r="E326" s="8"/>
      <c r="F326" s="14">
        <v>1.5</v>
      </c>
      <c r="G326" s="8"/>
    </row>
    <row r="327" spans="1:7" x14ac:dyDescent="0.2">
      <c r="A327" s="13">
        <v>36707</v>
      </c>
      <c r="B327" s="11">
        <v>849</v>
      </c>
      <c r="C327" s="8"/>
      <c r="D327" s="14">
        <v>0.7</v>
      </c>
      <c r="E327" s="8"/>
      <c r="F327" s="14">
        <v>2</v>
      </c>
      <c r="G327" s="8"/>
    </row>
    <row r="328" spans="1:7" x14ac:dyDescent="0.2">
      <c r="A328" s="13">
        <v>36799</v>
      </c>
      <c r="B328" s="11">
        <v>860</v>
      </c>
      <c r="C328" s="8"/>
      <c r="D328" s="14">
        <v>1.4</v>
      </c>
      <c r="E328" s="8"/>
      <c r="F328" s="14">
        <v>3</v>
      </c>
      <c r="G328" s="8"/>
    </row>
    <row r="329" spans="1:7" x14ac:dyDescent="0.2">
      <c r="A329" s="13">
        <v>36891</v>
      </c>
      <c r="B329" s="11">
        <v>870</v>
      </c>
      <c r="C329" s="8"/>
      <c r="D329" s="14">
        <v>1.2</v>
      </c>
      <c r="E329" s="8"/>
      <c r="F329" s="14">
        <v>4</v>
      </c>
      <c r="G329" s="8"/>
    </row>
    <row r="330" spans="1:7" x14ac:dyDescent="0.2">
      <c r="A330" s="13">
        <v>36981</v>
      </c>
      <c r="B330" s="11">
        <v>869</v>
      </c>
      <c r="C330" s="8"/>
      <c r="D330" s="14">
        <v>-0.2</v>
      </c>
      <c r="E330" s="8"/>
      <c r="F330" s="14">
        <v>3.1</v>
      </c>
      <c r="G330" s="8"/>
    </row>
    <row r="331" spans="1:7" x14ac:dyDescent="0.2">
      <c r="A331" s="13">
        <v>37072</v>
      </c>
      <c r="B331" s="11">
        <v>876</v>
      </c>
      <c r="C331" s="8"/>
      <c r="D331" s="14">
        <v>0.9</v>
      </c>
      <c r="E331" s="8"/>
      <c r="F331" s="14">
        <v>3.2</v>
      </c>
      <c r="G331" s="8"/>
    </row>
    <row r="332" spans="1:7" x14ac:dyDescent="0.2">
      <c r="A332" s="13">
        <v>37164</v>
      </c>
      <c r="B332" s="11">
        <v>881</v>
      </c>
      <c r="C332" s="8"/>
      <c r="D332" s="14">
        <v>0.6</v>
      </c>
      <c r="E332" s="8"/>
      <c r="F332" s="14">
        <v>2.4</v>
      </c>
      <c r="G332" s="8"/>
    </row>
    <row r="333" spans="1:7" x14ac:dyDescent="0.2">
      <c r="A333" s="13">
        <v>37256</v>
      </c>
      <c r="B333" s="11">
        <v>886</v>
      </c>
      <c r="C333" s="8"/>
      <c r="D333" s="14">
        <v>0.6</v>
      </c>
      <c r="E333" s="8"/>
      <c r="F333" s="14">
        <v>1.8</v>
      </c>
      <c r="G333" s="8"/>
    </row>
    <row r="334" spans="1:7" x14ac:dyDescent="0.2">
      <c r="A334" s="13">
        <v>37346</v>
      </c>
      <c r="B334" s="11">
        <v>891</v>
      </c>
      <c r="C334" s="8"/>
      <c r="D334" s="14">
        <v>0.6</v>
      </c>
      <c r="E334" s="8"/>
      <c r="F334" s="14">
        <v>2.6</v>
      </c>
      <c r="G334" s="8"/>
    </row>
    <row r="335" spans="1:7" x14ac:dyDescent="0.2">
      <c r="A335" s="13">
        <v>37437</v>
      </c>
      <c r="B335" s="11">
        <v>900</v>
      </c>
      <c r="C335" s="8"/>
      <c r="D335" s="14">
        <v>1</v>
      </c>
      <c r="E335" s="8"/>
      <c r="F335" s="14">
        <v>2.8</v>
      </c>
      <c r="G335" s="8"/>
    </row>
    <row r="336" spans="1:7" x14ac:dyDescent="0.2">
      <c r="A336" s="13">
        <v>37529</v>
      </c>
      <c r="B336" s="11">
        <v>904</v>
      </c>
      <c r="C336" s="8"/>
      <c r="D336" s="14">
        <v>0.5</v>
      </c>
      <c r="E336" s="8"/>
      <c r="F336" s="14">
        <v>2.6</v>
      </c>
      <c r="G336" s="8"/>
    </row>
    <row r="337" spans="1:7" x14ac:dyDescent="0.2">
      <c r="A337" s="13">
        <v>37621</v>
      </c>
      <c r="B337" s="11">
        <v>910</v>
      </c>
      <c r="C337" s="8"/>
      <c r="D337" s="14">
        <v>0.6</v>
      </c>
      <c r="E337" s="8"/>
      <c r="F337" s="14">
        <v>2.7</v>
      </c>
      <c r="G337" s="8"/>
    </row>
    <row r="338" spans="1:7" x14ac:dyDescent="0.2">
      <c r="A338" s="13">
        <v>37711</v>
      </c>
      <c r="B338" s="11">
        <v>913</v>
      </c>
      <c r="C338" s="8"/>
      <c r="D338" s="14">
        <v>0.4</v>
      </c>
      <c r="E338" s="8"/>
      <c r="F338" s="14">
        <v>2.5</v>
      </c>
      <c r="G338" s="8"/>
    </row>
    <row r="339" spans="1:7" x14ac:dyDescent="0.2">
      <c r="A339" s="13">
        <v>37802</v>
      </c>
      <c r="B339" s="11">
        <v>913</v>
      </c>
      <c r="C339" s="8"/>
      <c r="D339" s="12" t="s">
        <v>108</v>
      </c>
      <c r="E339" s="8"/>
      <c r="F339" s="14">
        <v>1.5</v>
      </c>
      <c r="G339" s="8"/>
    </row>
    <row r="340" spans="1:7" x14ac:dyDescent="0.2">
      <c r="A340" s="13">
        <v>37894</v>
      </c>
      <c r="B340" s="11">
        <v>918</v>
      </c>
      <c r="C340" s="8"/>
      <c r="D340" s="14">
        <v>0.5</v>
      </c>
      <c r="E340" s="8"/>
      <c r="F340" s="14">
        <v>1.5</v>
      </c>
      <c r="G340" s="8"/>
    </row>
    <row r="341" spans="1:7" x14ac:dyDescent="0.2">
      <c r="A341" s="13">
        <v>37986</v>
      </c>
      <c r="B341" s="11">
        <v>924</v>
      </c>
      <c r="C341" s="8"/>
      <c r="D341" s="14">
        <v>0.7</v>
      </c>
      <c r="E341" s="8"/>
      <c r="F341" s="14">
        <v>1.6</v>
      </c>
      <c r="G341" s="8"/>
    </row>
    <row r="342" spans="1:7" x14ac:dyDescent="0.2">
      <c r="A342" s="13">
        <v>38077</v>
      </c>
      <c r="B342" s="11">
        <v>928</v>
      </c>
      <c r="C342" s="8"/>
      <c r="D342" s="14">
        <v>0.4</v>
      </c>
      <c r="E342" s="8"/>
      <c r="F342" s="14">
        <v>1.5</v>
      </c>
      <c r="G342" s="8"/>
    </row>
    <row r="343" spans="1:7" x14ac:dyDescent="0.2">
      <c r="A343" s="13">
        <v>38168</v>
      </c>
      <c r="B343" s="11">
        <v>935</v>
      </c>
      <c r="C343" s="8"/>
      <c r="D343" s="14">
        <v>0.8</v>
      </c>
      <c r="E343" s="8"/>
      <c r="F343" s="14">
        <v>2.4</v>
      </c>
      <c r="G343" s="8"/>
    </row>
    <row r="344" spans="1:7" x14ac:dyDescent="0.2">
      <c r="A344" s="13">
        <v>38260</v>
      </c>
      <c r="B344" s="11">
        <v>941</v>
      </c>
      <c r="C344" s="8"/>
      <c r="D344" s="14">
        <v>0.6</v>
      </c>
      <c r="E344" s="8"/>
      <c r="F344" s="14">
        <v>2.5</v>
      </c>
      <c r="G344" s="8"/>
    </row>
    <row r="345" spans="1:7" x14ac:dyDescent="0.2">
      <c r="A345" s="13">
        <v>38352</v>
      </c>
      <c r="B345" s="11">
        <v>949</v>
      </c>
      <c r="C345" s="8"/>
      <c r="D345" s="14">
        <v>0.9</v>
      </c>
      <c r="E345" s="8"/>
      <c r="F345" s="14">
        <v>2.7</v>
      </c>
      <c r="G345" s="8"/>
    </row>
    <row r="346" spans="1:7" x14ac:dyDescent="0.2">
      <c r="A346" s="13">
        <v>38442</v>
      </c>
      <c r="B346" s="11">
        <v>953</v>
      </c>
      <c r="C346" s="8"/>
      <c r="D346" s="14">
        <v>0.4</v>
      </c>
      <c r="E346" s="8"/>
      <c r="F346" s="14">
        <v>2.8</v>
      </c>
      <c r="G346" s="8"/>
    </row>
    <row r="347" spans="1:7" x14ac:dyDescent="0.2">
      <c r="A347" s="13">
        <v>38533</v>
      </c>
      <c r="B347" s="11">
        <v>962</v>
      </c>
      <c r="C347" s="8"/>
      <c r="D347" s="14">
        <v>0.9</v>
      </c>
      <c r="E347" s="8"/>
      <c r="F347" s="14">
        <v>2.8</v>
      </c>
      <c r="G347" s="8"/>
    </row>
    <row r="348" spans="1:7" x14ac:dyDescent="0.2">
      <c r="A348" s="13">
        <v>38625</v>
      </c>
      <c r="B348" s="11">
        <v>973</v>
      </c>
      <c r="C348" s="8"/>
      <c r="D348" s="14">
        <v>1.1000000000000001</v>
      </c>
      <c r="E348" s="8"/>
      <c r="F348" s="14">
        <v>3.4</v>
      </c>
      <c r="G348" s="8"/>
    </row>
    <row r="349" spans="1:7" x14ac:dyDescent="0.2">
      <c r="A349" s="13">
        <v>38717</v>
      </c>
      <c r="B349" s="11">
        <v>979</v>
      </c>
      <c r="C349" s="8"/>
      <c r="D349" s="14">
        <v>0.7</v>
      </c>
      <c r="E349" s="8"/>
      <c r="F349" s="14">
        <v>3.2</v>
      </c>
      <c r="G349" s="8"/>
    </row>
    <row r="350" spans="1:7" x14ac:dyDescent="0.2">
      <c r="A350" s="13">
        <v>38807</v>
      </c>
      <c r="B350" s="11">
        <v>985</v>
      </c>
      <c r="C350" s="8"/>
      <c r="D350" s="14">
        <v>0.6</v>
      </c>
      <c r="E350" s="8"/>
      <c r="F350" s="14">
        <v>3.3</v>
      </c>
      <c r="G350" s="8"/>
    </row>
    <row r="351" spans="1:7" x14ac:dyDescent="0.2">
      <c r="A351" s="13">
        <v>38898</v>
      </c>
      <c r="B351" s="11">
        <v>1000</v>
      </c>
      <c r="C351" s="8"/>
      <c r="D351" s="14">
        <v>1.5</v>
      </c>
      <c r="E351" s="8"/>
      <c r="F351" s="14">
        <v>4</v>
      </c>
      <c r="G351" s="8"/>
    </row>
    <row r="352" spans="1:7" x14ac:dyDescent="0.2">
      <c r="A352" s="13">
        <v>38990</v>
      </c>
      <c r="B352" s="11">
        <v>1007</v>
      </c>
      <c r="C352" s="8"/>
      <c r="D352" s="14">
        <v>0.7</v>
      </c>
      <c r="E352" s="8"/>
      <c r="F352" s="14">
        <v>3.5</v>
      </c>
      <c r="G352" s="8"/>
    </row>
    <row r="353" spans="1:7" x14ac:dyDescent="0.2">
      <c r="A353" s="13">
        <v>39082</v>
      </c>
      <c r="B353" s="11">
        <v>1005</v>
      </c>
      <c r="C353" s="8"/>
      <c r="D353" s="14">
        <v>-0.2</v>
      </c>
      <c r="E353" s="8"/>
      <c r="F353" s="14">
        <v>2.6</v>
      </c>
      <c r="G353" s="8"/>
    </row>
    <row r="354" spans="1:7" x14ac:dyDescent="0.2">
      <c r="A354" s="13">
        <v>39172</v>
      </c>
      <c r="B354" s="11">
        <v>1010</v>
      </c>
      <c r="C354" s="8"/>
      <c r="D354" s="14">
        <v>0.5</v>
      </c>
      <c r="E354" s="8"/>
      <c r="F354" s="14">
        <v>2.5</v>
      </c>
      <c r="G354" s="8"/>
    </row>
    <row r="355" spans="1:7" x14ac:dyDescent="0.2">
      <c r="A355" s="13">
        <v>39263</v>
      </c>
      <c r="B355" s="11">
        <v>1020</v>
      </c>
      <c r="C355" s="8"/>
      <c r="D355" s="14">
        <v>1</v>
      </c>
      <c r="E355" s="8"/>
      <c r="F355" s="14">
        <v>2</v>
      </c>
      <c r="G355" s="8"/>
    </row>
    <row r="356" spans="1:7" x14ac:dyDescent="0.2">
      <c r="A356" s="13">
        <v>39355</v>
      </c>
      <c r="B356" s="11">
        <v>1025</v>
      </c>
      <c r="C356" s="8"/>
      <c r="D356" s="14">
        <v>0.5</v>
      </c>
      <c r="E356" s="8"/>
      <c r="F356" s="14">
        <v>1.8</v>
      </c>
      <c r="G356" s="8"/>
    </row>
    <row r="357" spans="1:7" x14ac:dyDescent="0.2">
      <c r="A357" s="13">
        <v>39447</v>
      </c>
      <c r="B357" s="11">
        <v>1037</v>
      </c>
      <c r="C357" s="8"/>
      <c r="D357" s="14">
        <v>1.2</v>
      </c>
      <c r="E357" s="8"/>
      <c r="F357" s="14">
        <v>3.2</v>
      </c>
      <c r="G357" s="8"/>
    </row>
    <row r="358" spans="1:7" x14ac:dyDescent="0.2">
      <c r="A358" s="13">
        <v>39538</v>
      </c>
      <c r="B358" s="11">
        <v>1044</v>
      </c>
      <c r="C358" s="8"/>
      <c r="D358" s="14">
        <v>0.7</v>
      </c>
      <c r="E358" s="8"/>
      <c r="F358" s="14">
        <v>3.4</v>
      </c>
      <c r="G358" s="8"/>
    </row>
    <row r="359" spans="1:7" x14ac:dyDescent="0.2">
      <c r="A359" s="13">
        <v>39629</v>
      </c>
      <c r="B359" s="11">
        <v>1061</v>
      </c>
      <c r="C359" s="8"/>
      <c r="D359" s="14">
        <v>1.6</v>
      </c>
      <c r="E359" s="8"/>
      <c r="F359" s="14">
        <v>4</v>
      </c>
      <c r="G359" s="8"/>
    </row>
    <row r="360" spans="1:7" x14ac:dyDescent="0.2">
      <c r="A360" s="13">
        <v>39721</v>
      </c>
      <c r="B360" s="11">
        <v>1077</v>
      </c>
      <c r="C360" s="8"/>
      <c r="D360" s="14">
        <v>1.5</v>
      </c>
      <c r="E360" s="8"/>
      <c r="F360" s="14">
        <v>5.0999999999999996</v>
      </c>
      <c r="G360" s="8"/>
    </row>
    <row r="361" spans="1:7" x14ac:dyDescent="0.2">
      <c r="A361" s="13">
        <v>39813</v>
      </c>
      <c r="B361" s="11">
        <v>1072</v>
      </c>
      <c r="C361" s="8"/>
      <c r="D361" s="14">
        <v>-0.5</v>
      </c>
      <c r="E361" s="8"/>
      <c r="F361" s="14">
        <v>3.4</v>
      </c>
      <c r="G361" s="8"/>
    </row>
    <row r="362" spans="1:7" x14ac:dyDescent="0.2">
      <c r="A362" s="13">
        <v>39903</v>
      </c>
      <c r="B362" s="11">
        <v>1075</v>
      </c>
      <c r="C362" s="8"/>
      <c r="D362" s="14">
        <v>0.3</v>
      </c>
      <c r="E362" s="8"/>
      <c r="F362" s="14">
        <v>3</v>
      </c>
      <c r="G362" s="8"/>
    </row>
    <row r="363" spans="1:7" x14ac:dyDescent="0.2">
      <c r="A363" s="13">
        <v>39994</v>
      </c>
      <c r="B363" s="11">
        <v>1081</v>
      </c>
      <c r="C363" s="8"/>
      <c r="D363" s="14">
        <v>0.6</v>
      </c>
      <c r="E363" s="8"/>
      <c r="F363" s="14">
        <v>1.9</v>
      </c>
      <c r="G363" s="8"/>
    </row>
    <row r="364" spans="1:7" x14ac:dyDescent="0.2">
      <c r="A364" s="13">
        <v>40086</v>
      </c>
      <c r="B364" s="11">
        <v>1095</v>
      </c>
      <c r="C364" s="8"/>
      <c r="D364" s="14">
        <v>1.3</v>
      </c>
      <c r="E364" s="8"/>
      <c r="F364" s="14">
        <v>1.7</v>
      </c>
      <c r="G364" s="8"/>
    </row>
    <row r="365" spans="1:7" x14ac:dyDescent="0.2">
      <c r="A365" s="13">
        <v>40178</v>
      </c>
      <c r="B365" s="11">
        <v>1093</v>
      </c>
      <c r="C365" s="8"/>
      <c r="D365" s="14">
        <v>-0.2</v>
      </c>
      <c r="E365" s="8"/>
      <c r="F365" s="14">
        <v>2</v>
      </c>
      <c r="G365" s="8"/>
    </row>
    <row r="366" spans="1:7" x14ac:dyDescent="0.2">
      <c r="A366" s="13">
        <v>40268</v>
      </c>
      <c r="B366" s="11">
        <v>1097</v>
      </c>
      <c r="C366" s="8"/>
      <c r="D366" s="14">
        <v>0.4</v>
      </c>
      <c r="E366" s="8"/>
      <c r="F366" s="14">
        <v>2</v>
      </c>
      <c r="G366" s="8"/>
    </row>
    <row r="367" spans="1:7" x14ac:dyDescent="0.2">
      <c r="A367" s="13">
        <v>40359</v>
      </c>
      <c r="B367" s="11">
        <v>1099</v>
      </c>
      <c r="C367" s="8"/>
      <c r="D367" s="14">
        <v>0.2</v>
      </c>
      <c r="E367" s="8"/>
      <c r="F367" s="14">
        <v>1.7</v>
      </c>
      <c r="G367" s="8"/>
    </row>
    <row r="368" spans="1:7" x14ac:dyDescent="0.2">
      <c r="A368" s="13">
        <v>40451</v>
      </c>
      <c r="B368" s="11">
        <v>1111</v>
      </c>
      <c r="C368" s="8"/>
      <c r="D368" s="14">
        <v>1.1000000000000001</v>
      </c>
      <c r="E368" s="8"/>
      <c r="F368" s="14">
        <v>1.5</v>
      </c>
      <c r="G368" s="8"/>
    </row>
    <row r="369" spans="1:8" x14ac:dyDescent="0.2">
      <c r="A369" s="13">
        <v>40543</v>
      </c>
      <c r="B369" s="11">
        <v>1137</v>
      </c>
      <c r="C369" s="8"/>
      <c r="D369" s="14">
        <v>2.2999999999999998</v>
      </c>
      <c r="E369" s="8"/>
      <c r="F369" s="14">
        <v>4</v>
      </c>
      <c r="G369" s="8"/>
    </row>
    <row r="370" spans="1:8" x14ac:dyDescent="0.2">
      <c r="A370" s="13">
        <v>40633</v>
      </c>
      <c r="B370" s="11">
        <v>1146</v>
      </c>
      <c r="C370" s="8"/>
      <c r="D370" s="14">
        <v>0.8</v>
      </c>
      <c r="E370" s="8"/>
      <c r="F370" s="14">
        <v>4.5</v>
      </c>
      <c r="G370" s="8"/>
    </row>
    <row r="371" spans="1:8" x14ac:dyDescent="0.2">
      <c r="A371" s="13">
        <v>40724</v>
      </c>
      <c r="B371" s="11">
        <v>1157</v>
      </c>
      <c r="C371" s="8"/>
      <c r="D371" s="14">
        <v>1</v>
      </c>
      <c r="E371" s="8"/>
      <c r="F371" s="14">
        <v>5.3</v>
      </c>
      <c r="G371" s="8"/>
    </row>
    <row r="372" spans="1:8" x14ac:dyDescent="0.2">
      <c r="A372" s="13">
        <v>40816</v>
      </c>
      <c r="B372" s="11">
        <v>1162</v>
      </c>
      <c r="C372" s="8"/>
      <c r="D372" s="14">
        <v>0.4</v>
      </c>
      <c r="E372" s="8"/>
      <c r="F372" s="14">
        <v>4.5999999999999996</v>
      </c>
      <c r="G372" s="8"/>
    </row>
    <row r="373" spans="1:8" x14ac:dyDescent="0.2">
      <c r="A373" s="13">
        <v>40908</v>
      </c>
      <c r="B373" s="11">
        <v>1158</v>
      </c>
      <c r="C373" s="8"/>
      <c r="D373" s="14">
        <v>-0.3</v>
      </c>
      <c r="E373" s="8"/>
      <c r="F373" s="14">
        <v>1.8</v>
      </c>
      <c r="G373" s="8"/>
    </row>
    <row r="374" spans="1:8" x14ac:dyDescent="0.2">
      <c r="A374" s="13">
        <v>40999</v>
      </c>
      <c r="B374" s="11">
        <v>1164</v>
      </c>
      <c r="C374" s="8"/>
      <c r="D374" s="14">
        <v>0.5</v>
      </c>
      <c r="E374" s="8"/>
      <c r="F374" s="14">
        <v>1.6</v>
      </c>
      <c r="G374" s="8"/>
    </row>
    <row r="375" spans="1:8" x14ac:dyDescent="0.2">
      <c r="A375" s="13">
        <v>41090</v>
      </c>
      <c r="B375" s="11">
        <v>1168</v>
      </c>
      <c r="C375" s="8"/>
      <c r="D375" s="14">
        <v>0.3</v>
      </c>
      <c r="E375" s="8"/>
      <c r="F375" s="14">
        <v>1</v>
      </c>
      <c r="G375" s="8"/>
    </row>
    <row r="376" spans="1:8" x14ac:dyDescent="0.2">
      <c r="A376" s="13">
        <v>41182</v>
      </c>
      <c r="B376" s="11">
        <v>1171</v>
      </c>
      <c r="C376" s="8"/>
      <c r="D376" s="14">
        <v>0.3</v>
      </c>
      <c r="E376" s="8"/>
      <c r="F376" s="14">
        <v>0.8</v>
      </c>
      <c r="G376" s="8"/>
    </row>
    <row r="377" spans="1:8" x14ac:dyDescent="0.2">
      <c r="A377" s="13">
        <v>41274</v>
      </c>
      <c r="B377" s="11">
        <v>1169</v>
      </c>
      <c r="C377" s="8"/>
      <c r="D377" s="14">
        <v>-0.2</v>
      </c>
      <c r="E377" s="8"/>
      <c r="F377" s="14">
        <v>0.9</v>
      </c>
      <c r="G377" s="8"/>
    </row>
    <row r="378" spans="1:8" x14ac:dyDescent="0.2">
      <c r="A378" s="15">
        <v>41364</v>
      </c>
      <c r="B378" s="11">
        <v>1174</v>
      </c>
      <c r="C378" s="8"/>
      <c r="D378" s="14">
        <v>0.4</v>
      </c>
      <c r="E378" s="8"/>
      <c r="F378" s="14">
        <v>0.9</v>
      </c>
      <c r="G378" s="8"/>
    </row>
    <row r="379" spans="1:8" ht="30.6" customHeight="1" x14ac:dyDescent="0.2"/>
    <row r="380" spans="1:8" ht="15.2" customHeight="1" x14ac:dyDescent="0.2">
      <c r="A380" s="66" t="s">
        <v>115</v>
      </c>
      <c r="B380" s="63"/>
      <c r="C380" s="63"/>
      <c r="D380" s="63"/>
      <c r="E380" s="63"/>
      <c r="F380" s="63"/>
      <c r="G380" s="63"/>
      <c r="H380" s="63"/>
    </row>
    <row r="381" spans="1:8" ht="17.100000000000001" customHeight="1" x14ac:dyDescent="0.2">
      <c r="A381" s="66" t="s">
        <v>116</v>
      </c>
      <c r="B381" s="63"/>
      <c r="C381" s="63"/>
      <c r="D381" s="63"/>
      <c r="E381" s="63"/>
      <c r="F381" s="63"/>
      <c r="G381" s="63"/>
      <c r="H381" s="63"/>
    </row>
  </sheetData>
  <mergeCells count="4">
    <mergeCell ref="A1:H1"/>
    <mergeCell ref="B3:G3"/>
    <mergeCell ref="A380:H380"/>
    <mergeCell ref="A381:H381"/>
  </mergeCells>
  <pageMargins left="0.78740157480314965" right="0.78740157480314965" top="0.78740157480314965" bottom="0.78740157480314965" header="0.78740157480314965" footer="0.78740157480314965"/>
  <pageSetup paperSize="0" orientation="portrait" horizontalDpi="0" verticalDpi="0"/>
  <headerFooter alignWithMargins="0">
    <oddFooter>&amp;L&amp;C&amp;R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BuildSchedule</vt:lpstr>
      <vt:lpstr>2013EquivCostSorted</vt:lpstr>
      <vt:lpstr>Transmission</vt:lpstr>
      <vt:lpstr>Indices</vt:lpstr>
      <vt:lpstr>CPI Source</vt:lpstr>
      <vt:lpstr>CPI</vt:lpstr>
      <vt:lpstr>BuildSchedule!Print_Area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Kirtlab</dc:creator>
  <cp:lastModifiedBy>Kirtlab</cp:lastModifiedBy>
  <cp:lastPrinted>2013-09-06T02:54:29Z</cp:lastPrinted>
  <dcterms:created xsi:type="dcterms:W3CDTF">2013-05-27T21:38:40Z</dcterms:created>
  <dcterms:modified xsi:type="dcterms:W3CDTF">2013-11-20T19:19:50Z</dcterms:modified>
</cp:coreProperties>
</file>